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09303\Desktop\lietuvosregionai\Kaunas\2018 08 24-30\"/>
    </mc:Choice>
  </mc:AlternateContent>
  <bookViews>
    <workbookView xWindow="0" yWindow="0" windowWidth="28800" windowHeight="11835" activeTab="7"/>
  </bookViews>
  <sheets>
    <sheet name="1-2 lentelė" sheetId="1" r:id="rId1"/>
    <sheet name=" 3 lentelė" sheetId="2" r:id="rId2"/>
    <sheet name="4-5 lentelės" sheetId="3" r:id="rId3"/>
    <sheet name="4 lentelės patikrinimas" sheetId="15" state="hidden" r:id="rId4"/>
    <sheet name="4 lentelės skaičiavimai" sheetId="14" state="hidden" r:id="rId5"/>
    <sheet name=" 6 lentelė" sheetId="4" r:id="rId6"/>
    <sheet name="Lapas8" sheetId="8" state="hidden" r:id="rId7"/>
    <sheet name="7 lentelė" sheetId="5" r:id="rId8"/>
  </sheets>
  <calcPr calcId="152511"/>
  <pivotCaches>
    <pivotCache cacheId="0"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7" i="3" l="1"/>
  <c r="J97" i="3" s="1"/>
  <c r="B440" i="15"/>
  <c r="M130" i="3" l="1"/>
  <c r="J111" i="3"/>
  <c r="K111" i="3" s="1"/>
  <c r="L111" i="3" s="1"/>
  <c r="M111" i="3" s="1"/>
  <c r="I102" i="3"/>
  <c r="J102" i="3" s="1"/>
  <c r="K102" i="3" s="1"/>
  <c r="L102" i="3" s="1"/>
  <c r="M102" i="3" s="1"/>
  <c r="K97" i="3"/>
  <c r="L97" i="3" s="1"/>
  <c r="M97" i="3" s="1"/>
  <c r="H171" i="3"/>
  <c r="I171" i="3" s="1"/>
  <c r="J171" i="3" s="1"/>
  <c r="K171" i="3" s="1"/>
  <c r="L171" i="3" s="1"/>
  <c r="M171" i="3" s="1"/>
  <c r="H170" i="3"/>
  <c r="I170" i="3" s="1"/>
  <c r="J170" i="3" s="1"/>
  <c r="K170" i="3" s="1"/>
  <c r="L170" i="3" s="1"/>
  <c r="M170" i="3" s="1"/>
  <c r="J167" i="3"/>
  <c r="K167" i="3" s="1"/>
  <c r="L167" i="3" s="1"/>
  <c r="M167" i="3" s="1"/>
  <c r="J166" i="3"/>
  <c r="K166" i="3" s="1"/>
  <c r="L166" i="3" s="1"/>
  <c r="M166" i="3" s="1"/>
  <c r="I165" i="3"/>
  <c r="J165" i="3" s="1"/>
  <c r="K165" i="3" s="1"/>
  <c r="L165" i="3" s="1"/>
  <c r="M165" i="3" s="1"/>
  <c r="I164" i="3"/>
  <c r="J164" i="3" s="1"/>
  <c r="K164" i="3" s="1"/>
  <c r="L164" i="3" s="1"/>
  <c r="M164" i="3" s="1"/>
  <c r="I163" i="3"/>
  <c r="J163" i="3" s="1"/>
  <c r="K163" i="3" s="1"/>
  <c r="L163" i="3" s="1"/>
  <c r="M163" i="3" s="1"/>
  <c r="J162" i="3"/>
  <c r="K162" i="3" s="1"/>
  <c r="L162" i="3" s="1"/>
  <c r="M162" i="3" s="1"/>
  <c r="I161" i="3"/>
  <c r="J161" i="3" s="1"/>
  <c r="K161" i="3" s="1"/>
  <c r="L161" i="3" s="1"/>
  <c r="M161" i="3" s="1"/>
  <c r="K160" i="3"/>
  <c r="L160" i="3" s="1"/>
  <c r="M160" i="3" s="1"/>
  <c r="J157" i="3"/>
  <c r="K157" i="3" s="1"/>
  <c r="L157" i="3" s="1"/>
  <c r="M157" i="3" s="1"/>
  <c r="H155" i="3"/>
  <c r="I155" i="3" s="1"/>
  <c r="J155" i="3" s="1"/>
  <c r="K155" i="3" s="1"/>
  <c r="L155" i="3" s="1"/>
  <c r="M155" i="3" s="1"/>
  <c r="J154" i="3"/>
  <c r="K154" i="3" s="1"/>
  <c r="L154" i="3" s="1"/>
  <c r="M154" i="3" s="1"/>
  <c r="H153" i="3"/>
  <c r="I153" i="3" s="1"/>
  <c r="J153" i="3" s="1"/>
  <c r="K153" i="3" s="1"/>
  <c r="L153" i="3" s="1"/>
  <c r="M153" i="3" s="1"/>
  <c r="I151" i="3"/>
  <c r="J151" i="3" s="1"/>
  <c r="K151" i="3" s="1"/>
  <c r="L151" i="3" s="1"/>
  <c r="M151" i="3" s="1"/>
  <c r="J149" i="3"/>
  <c r="K149" i="3" s="1"/>
  <c r="L149" i="3" s="1"/>
  <c r="M149" i="3" s="1"/>
  <c r="H148" i="3"/>
  <c r="I148" i="3" s="1"/>
  <c r="J148" i="3" s="1"/>
  <c r="K148" i="3" s="1"/>
  <c r="L148" i="3" s="1"/>
  <c r="M148" i="3" s="1"/>
  <c r="I147" i="3"/>
  <c r="J147" i="3" s="1"/>
  <c r="K147" i="3" s="1"/>
  <c r="L147" i="3" s="1"/>
  <c r="M147" i="3" s="1"/>
  <c r="J146" i="3"/>
  <c r="K146" i="3" s="1"/>
  <c r="L146" i="3" s="1"/>
  <c r="M146" i="3" s="1"/>
  <c r="I145" i="3"/>
  <c r="J145" i="3" s="1"/>
  <c r="K145" i="3" s="1"/>
  <c r="L145" i="3" s="1"/>
  <c r="M145" i="3" s="1"/>
  <c r="J143" i="3"/>
  <c r="K143" i="3" s="1"/>
  <c r="L143" i="3" s="1"/>
  <c r="M143" i="3" s="1"/>
  <c r="I141" i="3"/>
  <c r="J141" i="3" s="1"/>
  <c r="K141" i="3" s="1"/>
  <c r="L141" i="3" s="1"/>
  <c r="M141" i="3" s="1"/>
  <c r="K137" i="3"/>
  <c r="L137" i="3" s="1"/>
  <c r="M137" i="3" s="1"/>
  <c r="J136" i="3"/>
  <c r="K136" i="3" s="1"/>
  <c r="L136" i="3" s="1"/>
  <c r="M136" i="3" s="1"/>
  <c r="J135" i="3"/>
  <c r="K135" i="3" s="1"/>
  <c r="L135" i="3" s="1"/>
  <c r="M135" i="3" s="1"/>
  <c r="I134" i="3"/>
  <c r="J134" i="3" s="1"/>
  <c r="K134" i="3" s="1"/>
  <c r="L134" i="3" s="1"/>
  <c r="M134" i="3" s="1"/>
  <c r="J133" i="3"/>
  <c r="K133" i="3" s="1"/>
  <c r="L133" i="3" s="1"/>
  <c r="M133" i="3" s="1"/>
  <c r="J132" i="3"/>
  <c r="K132" i="3" s="1"/>
  <c r="L132" i="3" s="1"/>
  <c r="M132" i="3" s="1"/>
  <c r="L130" i="3"/>
  <c r="J127" i="3"/>
  <c r="K127" i="3" s="1"/>
  <c r="L127" i="3" s="1"/>
  <c r="M127" i="3" s="1"/>
  <c r="H125" i="3"/>
  <c r="I125" i="3" s="1"/>
  <c r="J125" i="3" s="1"/>
  <c r="K125" i="3" s="1"/>
  <c r="L125" i="3" s="1"/>
  <c r="M125" i="3" s="1"/>
  <c r="H124" i="3"/>
  <c r="I124" i="3" s="1"/>
  <c r="J124" i="3" s="1"/>
  <c r="K124" i="3" s="1"/>
  <c r="L124" i="3" s="1"/>
  <c r="M124" i="3" s="1"/>
  <c r="I118" i="3"/>
  <c r="J118" i="3" s="1"/>
  <c r="K118" i="3" s="1"/>
  <c r="L118" i="3" s="1"/>
  <c r="M118" i="3" s="1"/>
  <c r="J115" i="3"/>
  <c r="K115" i="3" s="1"/>
  <c r="L115" i="3" s="1"/>
  <c r="M115" i="3" s="1"/>
  <c r="G114" i="3"/>
  <c r="H114" i="3" s="1"/>
  <c r="I114" i="3" s="1"/>
  <c r="J114" i="3" s="1"/>
  <c r="K114" i="3" s="1"/>
  <c r="L114" i="3" s="1"/>
  <c r="M114" i="3" s="1"/>
  <c r="J113" i="3"/>
  <c r="K113" i="3" s="1"/>
  <c r="L113" i="3" s="1"/>
  <c r="M113" i="3" s="1"/>
  <c r="G112" i="3"/>
  <c r="H112" i="3" s="1"/>
  <c r="I112" i="3" s="1"/>
  <c r="J112" i="3" s="1"/>
  <c r="K112" i="3" s="1"/>
  <c r="L112" i="3" s="1"/>
  <c r="M112" i="3" s="1"/>
  <c r="F109" i="3"/>
  <c r="G109" i="3" s="1"/>
  <c r="H109" i="3" s="1"/>
  <c r="I109" i="3" s="1"/>
  <c r="J109" i="3" s="1"/>
  <c r="K109" i="3" s="1"/>
  <c r="L109" i="3" s="1"/>
  <c r="M109" i="3" s="1"/>
  <c r="I108" i="3"/>
  <c r="J108" i="3" s="1"/>
  <c r="K108" i="3" s="1"/>
  <c r="L108" i="3" s="1"/>
  <c r="M108" i="3" s="1"/>
  <c r="H108" i="3"/>
  <c r="J107" i="3"/>
  <c r="K107" i="3" s="1"/>
  <c r="L107" i="3" s="1"/>
  <c r="M107" i="3" s="1"/>
  <c r="I106" i="3"/>
  <c r="J106" i="3" s="1"/>
  <c r="K106" i="3" s="1"/>
  <c r="L106" i="3" s="1"/>
  <c r="M106" i="3" s="1"/>
  <c r="H100" i="3"/>
  <c r="I100" i="3" s="1"/>
  <c r="J100" i="3" s="1"/>
  <c r="K100" i="3" s="1"/>
  <c r="L100" i="3" s="1"/>
  <c r="M100" i="3" s="1"/>
  <c r="J99" i="3"/>
  <c r="K99" i="3" s="1"/>
  <c r="L99" i="3" s="1"/>
  <c r="M99" i="3" s="1"/>
  <c r="J98" i="3"/>
  <c r="K98" i="3" s="1"/>
  <c r="L98" i="3" s="1"/>
  <c r="M98" i="3" s="1"/>
  <c r="I98" i="3"/>
  <c r="I96" i="3"/>
  <c r="J96" i="3" s="1"/>
  <c r="K96" i="3" s="1"/>
  <c r="L96" i="3" s="1"/>
  <c r="M96" i="3" s="1"/>
  <c r="J95" i="3"/>
  <c r="K95" i="3" s="1"/>
  <c r="L95" i="3" s="1"/>
  <c r="M95" i="3" s="1"/>
  <c r="I95" i="3"/>
  <c r="AH133" i="14"/>
  <c r="AH131" i="14"/>
  <c r="AH112" i="14"/>
  <c r="AH105" i="14"/>
  <c r="AH86" i="14"/>
  <c r="AC179" i="14"/>
  <c r="AC132" i="14"/>
  <c r="AC97" i="14"/>
  <c r="AC94" i="14"/>
  <c r="AC88" i="14"/>
  <c r="AC83" i="14"/>
  <c r="AC77" i="14"/>
  <c r="AC73" i="14"/>
  <c r="AC66" i="14"/>
  <c r="AC61" i="14"/>
  <c r="AC52" i="14"/>
  <c r="X205" i="14"/>
  <c r="X175" i="14"/>
  <c r="X157" i="14"/>
  <c r="X91" i="14"/>
  <c r="X89" i="14"/>
  <c r="S13" i="14"/>
  <c r="S10" i="14"/>
  <c r="S6" i="14"/>
  <c r="I8" i="14"/>
  <c r="I6" i="14"/>
  <c r="AC155" i="14"/>
  <c r="C438" i="14"/>
</calcChain>
</file>

<file path=xl/sharedStrings.xml><?xml version="1.0" encoding="utf-8"?>
<sst xmlns="http://schemas.openxmlformats.org/spreadsheetml/2006/main" count="4207" uniqueCount="1416">
  <si>
    <t>metodikos</t>
  </si>
  <si>
    <t>Kodas</t>
  </si>
  <si>
    <t>Metai:</t>
  </si>
  <si>
    <t xml:space="preserve">PLANO ĮGYVENDINIMO STEBĖSENA </t>
  </si>
  <si>
    <t>VERTINIMO KRITERIJAI</t>
  </si>
  <si>
    <t>1 lentelė. Efekto vertinimo kriterijai.</t>
  </si>
  <si>
    <t>Prioritetai ir tikslai</t>
  </si>
  <si>
    <t>Vertinimo kriterijus pavadinimas</t>
  </si>
  <si>
    <t>Nuokrypio intervalų ribos ir įvertinimas**</t>
  </si>
  <si>
    <t xml:space="preserve">* Čia ir toliau: efekto vertinimo kriterijaus kodas sudaromas naudojant formatą „A-ef-Y“, kur A – prioriteto eilės numeris plane, B – tikslo eilės numeris plane, ef – vertinimo kriterijaus tipas – efekto vertinimo kriterijus, X – atitinkamo vertinimo kriterijaus eilės numeris (kiekvieno prioriteto efekto vertinimo kriterijai numeruojami iš naujo). </t>
  </si>
  <si>
    <t>**Čia ir toliau: „a“ ir „b“ siekiamos reikšmės nuokrypio  intervalo ribos, o c reikšmė – kritinė riba, kurios nepasiekus per nustatytą laikotarpį, laikoma, kad prioritetas, tikslas ar uždavinys per suplanuotą laikotarpį iš esmės neįgyvendintas. Siekiama reikšmė nustatoma intervalo (a;b) (gerai) ribose.</t>
  </si>
  <si>
    <t xml:space="preserve">*** Čia ir toliau: kai teigiamus pokyčius atspindi kriterijaus reikšmės sumažėjimas (pvz. nedarbo lygio). </t>
  </si>
  <si>
    <t>2 lentelė. Rezultato vertinimo kriterijai.</t>
  </si>
  <si>
    <t>Tikslai ir uždaviniai</t>
  </si>
  <si>
    <t>Nuokrypio intervalų ribos ir įvertinimas</t>
  </si>
  <si>
    <t xml:space="preserve">* Čia ir toliau: rezultato vertinimo kriterijaus kodas sudaromas naudojant formatą „A.B.C-r-X“, kur A – prioriteto eilės numeris plane, B – tikslo eilės numeris plane, C – uždavinio eilės numeris plane, r– vertinimo kriterijaus tipas – rezultato vertinimo kriterijus, X – atitinkamo rezultato vertinimo kriterijaus eilės numeris (kiekvienam tikslui  rezultato vertinimo kriterijai numeruojami iš naujo). </t>
  </si>
  <si>
    <t>4 priedas</t>
  </si>
  <si>
    <t>EFEKTO IR REZULTATO VERTINIMO KRITERIJŲ PASIEKIMO GRAFIKAS</t>
  </si>
  <si>
    <t>3 lentelė. Efekto ir rezultato vertinimo kriterijų pasiekimo grafikas.</t>
  </si>
  <si>
    <t>Vertinimo kriterijaus pavadinimas</t>
  </si>
  <si>
    <t>* Nurodomos reikšmės tiems metams, kuriais numatyta įgyvendinti tikslą ar uždavinį.</t>
  </si>
  <si>
    <r>
      <t xml:space="preserve">**Kur </t>
    </r>
    <r>
      <rPr>
        <b/>
        <sz val="12"/>
        <color theme="1"/>
        <rFont val="Times New Roman"/>
        <family val="1"/>
        <charset val="186"/>
      </rPr>
      <t xml:space="preserve">a, b ir c – </t>
    </r>
    <r>
      <rPr>
        <sz val="12"/>
        <color theme="1"/>
        <rFont val="Times New Roman"/>
        <family val="1"/>
        <charset val="186"/>
      </rPr>
      <t>nuokrypio intervalų ribos kasmet.</t>
    </r>
  </si>
  <si>
    <t>PRODUKTO VERTINIMO KRITERIJŲ PASIEKIMO GRAFIKAS</t>
  </si>
  <si>
    <t>4 lentelė. Siektinos produkto ir rezultato vertinimo kriterijų reikšmės atitinkamais metais.</t>
  </si>
  <si>
    <t>5 lentelė. Siektinos produkto ir rezultato vertinimo kriterijų reikšmės kaupiamuoju būdu (nuo plano įgyvendinimo pradžios).</t>
  </si>
  <si>
    <t>VERTINIMO KRITERIJŲ REIKŠMIŲ APSKAIČIAVIMO METODAI, DALYVAUJANČIOS INSTITUCIJOS IR DUOMENŲ ŠALTINIAI</t>
  </si>
  <si>
    <t>Eil. Nr.</t>
  </si>
  <si>
    <t>Vertinimo kriterijaus apskaičiavimo formulė arba tyrimo pavadinimas*</t>
  </si>
  <si>
    <t>Vertinimo kriterijaus reikšmei apskaičiuoti arba tyrimui atlikti naudojami duomenys (kintamieji)</t>
  </si>
  <si>
    <t>Duomenis pateikiančios institucijos</t>
  </si>
  <si>
    <t>Duomenų gavimo šaltiniai **</t>
  </si>
  <si>
    <t>Vertinimo kriterijaus reikšmę apskaičiuojanti institucija</t>
  </si>
  <si>
    <t>Vertinimo kriterijaus reikšmės apskaičiavimo periodiškumas</t>
  </si>
  <si>
    <t>*  Jei vertinimo kriterijui apskaičiuoti bus atliekamas papildomas tyrimas, plano priede pateikiamas trumpas laisvos formos tyrimo metodo (-ų) aprašymas.</t>
  </si>
  <si>
    <t>** Iš viešųjų šaltinių  (leidiniai, viešosios duomenų bazės, teisės aktai, periodinės apžvalgos ir kt.); naudojant informacines sistemas; tiesiogiai kreipiantis į duomenis renkančią instituciją ar įstaigą; kita.</t>
  </si>
  <si>
    <t>VISUOMENĖS INFORMAVIMO APIE PLANO ĮGYVENDINIMĄ PRIEMONĖS</t>
  </si>
  <si>
    <t>Informacijos pobūdis</t>
  </si>
  <si>
    <t>Skelbimo periodiškumas*</t>
  </si>
  <si>
    <t>Paskelbimo šaltinis (pažymėti)</t>
  </si>
  <si>
    <t>Lėšų poreikis ir finansavimo šaltiniai</t>
  </si>
  <si>
    <t>Skelbimas internete</t>
  </si>
  <si>
    <t>Pranešimas spaudai</t>
  </si>
  <si>
    <t>Užsakomasis straipsnis</t>
  </si>
  <si>
    <t>Televizijos laida</t>
  </si>
  <si>
    <t>Radijo pranešimas</t>
  </si>
  <si>
    <t>Seminaras, konferencija</t>
  </si>
  <si>
    <t>Kita (nurodyti)</t>
  </si>
  <si>
    <t>Plano įgyvendinimo ataskaita</t>
  </si>
  <si>
    <t>Periodinė apžvalga</t>
  </si>
  <si>
    <t>Teminė apžvalga</t>
  </si>
  <si>
    <t>Informacinis pranešimas</t>
  </si>
  <si>
    <t>* Vienkartinis, periodinis (nurodyti periodiškumą)</t>
  </si>
  <si>
    <t>Regionų plėtros planų rengimo</t>
  </si>
  <si>
    <t>REGIONINĖS PLĖTROS DEPARTAMENTO PRIE VIDAUS REIKALŲ MINISTERIJOS KAUNO APSKRITIES SKYRIUS</t>
  </si>
  <si>
    <t>Siekiama reikšmė (2020 m.)</t>
  </si>
  <si>
    <t>1.1-ef-1</t>
  </si>
  <si>
    <t>Bendrasis vidaus produktas tenkantis vienam gyventojui Kauno regione palyginti su šalies vidurkiu, proc.</t>
  </si>
  <si>
    <t xml:space="preserve">98,16
(2012 m.)
</t>
  </si>
  <si>
    <t>1.2-ef-1</t>
  </si>
  <si>
    <t>Bendrasis vidaus produktas tenkantis vienam gyventojui Kauno apskrityje, tūkst. Eur;</t>
  </si>
  <si>
    <t xml:space="preserve">10,83
(2012 m)
</t>
  </si>
  <si>
    <t>1.3-ef-1</t>
  </si>
  <si>
    <t xml:space="preserve">20,93
(2013 m.)
</t>
  </si>
  <si>
    <t>1.4-ef-1</t>
  </si>
  <si>
    <t>Apgyvendintų turistų skaičius apgyvendinimo įstaigose 1000 gyventojų Kauno regione</t>
  </si>
  <si>
    <t xml:space="preserve">457
(2013 m.)
</t>
  </si>
  <si>
    <t>2.2-ef-1</t>
  </si>
  <si>
    <t>18 – 24 m. amžiaus jaunimo, kuris neturi vidurinio išsilavinimo ir niekur nesimoko Kauno regione, dalis (proc.)</t>
  </si>
  <si>
    <t>2.3-ef-1</t>
  </si>
  <si>
    <t>Išlaidos socialinei pašalpai tūkst. Eur/1000 gyventojų Kauno regione</t>
  </si>
  <si>
    <t>2.4-ef-1</t>
  </si>
  <si>
    <t>Vidutinė tikėtina gyvenimo trukmė Kauno regione, metai</t>
  </si>
  <si>
    <t>2.5-ef-1</t>
  </si>
  <si>
    <t>Užregistruotų nusikalstamų veikų skaičius 100 tūkst. gyventojų Kauno regione</t>
  </si>
  <si>
    <t>2.6-ef-1</t>
  </si>
  <si>
    <t>Užimtųjų dalis žemės ūkio, miškininkystės ir žuvininkystės sektoriuje nuo visų užimtųjų Kauno regione, proc.</t>
  </si>
  <si>
    <t xml:space="preserve">6,3
(2013 m.)
</t>
  </si>
  <si>
    <t xml:space="preserve">41,81
(2013)
</t>
  </si>
  <si>
    <t xml:space="preserve">75,33
(2013 m.)
</t>
  </si>
  <si>
    <t xml:space="preserve">2804
(2013 m.)
</t>
  </si>
  <si>
    <t>(+∞–2804](blogai)</t>
  </si>
  <si>
    <t>(2804–2500] (patenkinamai)</t>
  </si>
  <si>
    <t>(2500–2000) (gerai)</t>
  </si>
  <si>
    <t>[2000–0] (labai gerai)</t>
  </si>
  <si>
    <t>[0–75,33] (blogai)</t>
  </si>
  <si>
    <t>(75,33–76] (patenkinamai)</t>
  </si>
  <si>
    <t>(76–77) (gerai)</t>
  </si>
  <si>
    <t>[0–41,81] (blogai)</t>
  </si>
  <si>
    <t>(41,81–43,44] (patenkinamai)</t>
  </si>
  <si>
    <t>(43,44–46,34) (gerai)</t>
  </si>
  <si>
    <t>[ 46,34–49,24] (labai gerai)</t>
  </si>
  <si>
    <t>[100–6,3] (blogai)</t>
  </si>
  <si>
    <t>(6,3–6] (patenkinamai)</t>
  </si>
  <si>
    <t>(6–5) (gerai)</t>
  </si>
  <si>
    <t>[5–0] (labai gerai)</t>
  </si>
  <si>
    <t>[0–457] (blogai)</t>
  </si>
  <si>
    <t>[0–20,93] (blogai)</t>
  </si>
  <si>
    <t>(20,93–22] (patenkinamai)</t>
  </si>
  <si>
    <t>(99–100) (gerai)</t>
  </si>
  <si>
    <t>(98,5–99] (patenkinamai)</t>
  </si>
  <si>
    <t xml:space="preserve">6,35
(2011 m.)
</t>
  </si>
  <si>
    <t>PRIORITETAS: ŽMOGAUS IR APLINKOS SANTARA</t>
  </si>
  <si>
    <t>PRIORITETAS: GYVENIMO KOKYBĖ</t>
  </si>
  <si>
    <t>PRIORITETAS: PAŽANGI EKONOMIKA</t>
  </si>
  <si>
    <t>3.1-ef-1</t>
  </si>
  <si>
    <t>Perdirbtų (panaudotų) komunalinių atliekų dalis Kauno regione, proc.</t>
  </si>
  <si>
    <t>3.2-ef-1</t>
  </si>
  <si>
    <t>Savivaldybių, turinčių galiojančius savivaldybių teritorijų planavimo dokumentus skaičius.</t>
  </si>
  <si>
    <t xml:space="preserve">15,2
(2013 m.)
</t>
  </si>
  <si>
    <t xml:space="preserve">13
(2014 m.)
</t>
  </si>
  <si>
    <t>[13] (labai gerai)</t>
  </si>
  <si>
    <t>[4,5–2] (labai gerai)</t>
  </si>
  <si>
    <t>(5–4,5) (gerai)</t>
  </si>
  <si>
    <t>(6,35–5] (patenkinamai)</t>
  </si>
  <si>
    <t>[8–6,35] (blogai)</t>
  </si>
  <si>
    <t>[50–100] (labai gerai)</t>
  </si>
  <si>
    <t>(32–50) (gerai)</t>
  </si>
  <si>
    <t>(23–32] (patenkinamai)</t>
  </si>
  <si>
    <t>[15,2–23] (blogai)</t>
  </si>
  <si>
    <t>(10–13) (gerai)</t>
  </si>
  <si>
    <t>(5–10] (patenkinamai)</t>
  </si>
  <si>
    <t>[0–5] (blogai)</t>
  </si>
  <si>
    <t>[100–+∞) (labai gerai)</t>
  </si>
  <si>
    <t>(-∞–98,5] (blogai)</t>
  </si>
  <si>
    <t>[77–+∞) (labai gerai)</t>
  </si>
  <si>
    <t>1.1.1-r-1</t>
  </si>
  <si>
    <t>Tiesioginės užsienio investicijos tenkančios vienam gyventojui Kauno apskrityje, Eur</t>
  </si>
  <si>
    <t xml:space="preserve">2505,79
(2012 m.)
</t>
  </si>
  <si>
    <t>(2751,39–2896,20) (gerai)</t>
  </si>
  <si>
    <t>(2577,62–2751,39] (patenkinamai)</t>
  </si>
  <si>
    <t>[0–2577,62] (blogai)</t>
  </si>
  <si>
    <t>1.1.1-r-2</t>
  </si>
  <si>
    <t>Įmonės diegiančios inovacijas – technologiniai ir netechnologiniai novatoriai Kauno apskrityje (proc. nuo visų įmonių);</t>
  </si>
  <si>
    <t>1.1.2-r-1</t>
  </si>
  <si>
    <t>Materialinės investicijos tenkančios vienam gyventojui Kauno apskrityje, Eur</t>
  </si>
  <si>
    <t xml:space="preserve">1303
(2012 m.)
</t>
  </si>
  <si>
    <t>1.2.1-r-1</t>
  </si>
  <si>
    <t>Smulkaus ir vidutinio verslo įmonių tenkančių 1000 gyventojų skaičius, Kauno apskritis, vnt.</t>
  </si>
  <si>
    <t xml:space="preserve">21,56
(2013 m.)
</t>
  </si>
  <si>
    <t>1.2.2-r-1</t>
  </si>
  <si>
    <t>Verslo informacinių centrų aptarnautų įmonių skaičius per metus Kauno regione</t>
  </si>
  <si>
    <t>–</t>
  </si>
  <si>
    <t>Tikslas. Plėtoti regiono transporto infrastruktūrą</t>
  </si>
  <si>
    <t>1.3.1-r-1</t>
  </si>
  <si>
    <t>Žvyro kelių ilgis nuo visų kelių ilgio Kauno regione, proc.</t>
  </si>
  <si>
    <t>1.3.1-r-2</t>
  </si>
  <si>
    <t>Kelių eismo įvykių skaičius 1000 gyventojų Kauno regione</t>
  </si>
  <si>
    <t>Kelių eismo įvykiuose sužeistųjų skaičius 1000 gyventojų Kauno regione</t>
  </si>
  <si>
    <t>1.3.1-r-3</t>
  </si>
  <si>
    <t>Kelių eismo įvykiuose žuvusiųjų skaičius 1000 gyventojų Kauno regione</t>
  </si>
  <si>
    <t xml:space="preserve">60,18
(2013 m.)
</t>
  </si>
  <si>
    <t xml:space="preserve">1,12
(2013 m.)
</t>
  </si>
  <si>
    <t xml:space="preserve">1,36
(2013 m.)
</t>
  </si>
  <si>
    <t xml:space="preserve">0,067
(2013 m.)
</t>
  </si>
  <si>
    <t xml:space="preserve">Tikslas. Siekti, kad Kauno regionas taptų tarptautinio ir vietinio turizmo bei įvairiapusiškų poilsio paslaugų centru </t>
  </si>
  <si>
    <t>1.4.1-r-1</t>
  </si>
  <si>
    <t>Suteiktų nakvynių skaičius apgyvendinimo įstaigose 1000 gyventojų Kauno regione</t>
  </si>
  <si>
    <t xml:space="preserve">1111
(2013 m.)
</t>
  </si>
  <si>
    <t>1.4.1-r-2</t>
  </si>
  <si>
    <t>Apgyvendinimo įstaigų skaičius 1000 gyventojų Kauno regione</t>
  </si>
  <si>
    <t>1.4.2-r -1</t>
  </si>
  <si>
    <t>Lankytojų skaičius turizmo informaciniuose centruose 1000 gyventojų Kauno regione</t>
  </si>
  <si>
    <t xml:space="preserve">223
(2013 m.)
</t>
  </si>
  <si>
    <t xml:space="preserve">0,23
(2013 m.)
</t>
  </si>
  <si>
    <t>Tikslas. Vystyti subalansuotą mokymosi sistemą.</t>
  </si>
  <si>
    <t>2.2.1-r-1</t>
  </si>
  <si>
    <t>Mokyklinio amžiaus vaikai nesimokantys mokykloje dėl socialinių, psichologinių ir kt. priežasčių Kauno regione</t>
  </si>
  <si>
    <t>2.2.2-r-1</t>
  </si>
  <si>
    <t>Renovuotų geresnei energijos vartojimo klasei priskiriamų savivaldybėms priklausančių viešųjų pastatų skaičius nuo bendro Kauno regiono savivaldybėms priklausančių viešųjų pastatų skaičiaus</t>
  </si>
  <si>
    <t>2.2.3-r-1</t>
  </si>
  <si>
    <t>Mokymuose dalyvavusių žmonių skaičius Kauno regione</t>
  </si>
  <si>
    <t>2.2.4-r-1</t>
  </si>
  <si>
    <t>Renovuotų geresnei energijos vartojimo klasei priskiriamų savivaldybėms priklausančių neformalaus švietimo įstaigų pastatų skaičius nuo bendro neformalaus švietimo įstaigų pastatų, priklausančių savivaldybėms skaičiaus Kauno regione</t>
  </si>
  <si>
    <t>Tikslas. Užtikrinti teikiamų socialinių paslaugų prieinamumą.</t>
  </si>
  <si>
    <t>2.3.1-r-1</t>
  </si>
  <si>
    <t>Asmenys, gyvenantys namų ūkiuose, susiduriančiuose su ekonominiais sunkumais (dėl pinigų stokos negali laiku sumokėti būsto nuomos, komunalinių mokesčių, būsto ar kitų paskolų, kredito) Kauno regione, proc.</t>
  </si>
  <si>
    <t>2.3.1-r-2</t>
  </si>
  <si>
    <t>Socialines paslaugas į namus gavusių asmenų skaičius 1000 gyventojų Kauno regione</t>
  </si>
  <si>
    <t xml:space="preserve">15
(2013)
</t>
  </si>
  <si>
    <t xml:space="preserve">5,74
(2013 m.)
</t>
  </si>
  <si>
    <t>2.3.2-r-1</t>
  </si>
  <si>
    <t>Įrengti nauji ar įsigyti socialiniai būstai, vienetais</t>
  </si>
  <si>
    <t>Tikslas. Plėtoti Kauno regioną kaip vieną iš Europos sveikatos regionų.</t>
  </si>
  <si>
    <t>2.4.1-r-1</t>
  </si>
  <si>
    <t>Praktikuojančių gydytojų skaičius, tenkantis 10 tūkst. gyv.</t>
  </si>
  <si>
    <t xml:space="preserve">46,5 
(2012 m.)
</t>
  </si>
  <si>
    <t>2.4.2-r-1</t>
  </si>
  <si>
    <t>Renovuotų geresnei energijos vartojimo klasei priskiriamų savivaldybėms priklausančių sveikatos įstaigų viešųjų pastatų skaičius nuo bendro savivaldybei priklausančių sveikatos įstaigų viešųjų pastatų skaičiaus</t>
  </si>
  <si>
    <t xml:space="preserve">Tikslas. Plėtoti socialinę infrastruktūrą ir bendruomenines iniciatyvas, skirtas gyventojų gyvenimo kokybės ir gyvenamosios aplinkos gerinimui.  </t>
  </si>
  <si>
    <t>2.5.1-r-1</t>
  </si>
  <si>
    <t>Meno kolektyvų skaičius Kauno regione</t>
  </si>
  <si>
    <t xml:space="preserve">659
(2013 m.)
</t>
  </si>
  <si>
    <t>2.5.1-r-2</t>
  </si>
  <si>
    <t>Sporto varžybų ir sveikatingumo renginių dalyviai Kauno regione</t>
  </si>
  <si>
    <t>2.5.2-r-1</t>
  </si>
  <si>
    <t>Naujai įsteigtų bendruomenės namų skaičius Kauno regione</t>
  </si>
  <si>
    <t>2.5.2-r-2</t>
  </si>
  <si>
    <t>Nepilnamečių padarytų nusikalstamų veikų Kauno regione skaičius tenkantis 1000 nepilnamečių</t>
  </si>
  <si>
    <t xml:space="preserve">180 704
(2013 m.)
</t>
  </si>
  <si>
    <t xml:space="preserve">5,6
(2013 m.)
</t>
  </si>
  <si>
    <t>Tikslas. Visapusiškai vystyti ir modernizuoti kaimo vietoves ir verslą kaime</t>
  </si>
  <si>
    <t>2.6.1-r-1</t>
  </si>
  <si>
    <t>2.6.2-r-1</t>
  </si>
  <si>
    <t>Naujai įsikūrusių bendruomenių skaičius kaimo vietovėse Kauno regione</t>
  </si>
  <si>
    <t>Ūkių vidutinis dydis pagal žemės ūkio naudmenas Kauno regione, ha</t>
  </si>
  <si>
    <t xml:space="preserve">15,68
(2014 m.)
</t>
  </si>
  <si>
    <t>Tikslas. Skatinti darnų išteklių naudojimą, užtikrinti ekosistemų stabilumą Kauno regione.</t>
  </si>
  <si>
    <t>3.1.1-r-1</t>
  </si>
  <si>
    <t>Rekultivuotų sąvartynų skaičius Kauno regione</t>
  </si>
  <si>
    <t>3.1.1-r-2</t>
  </si>
  <si>
    <t>Komunalinių atliekų susidarymas vienam gyventojui Lietuvoje, kg</t>
  </si>
  <si>
    <t>3.1.2-r-1</t>
  </si>
  <si>
    <t>Užterštų (be valymo) ir nepakankamai išvalytų nuotekų, išleistų į paviršinius vandenis, dalis bendrame nuotekų kiekyje, Kauno apskritis, proc.</t>
  </si>
  <si>
    <t>3.1.2-r-2</t>
  </si>
  <si>
    <t>Naujų ir renovuotų centralizuoto vandens ir nuotekų tinklų ilgis Kauno regione, km</t>
  </si>
  <si>
    <t>3.1.3-r-1</t>
  </si>
  <si>
    <t>Renovuotų daugiabučių skaičius</t>
  </si>
  <si>
    <t>3.1.3-r-2</t>
  </si>
  <si>
    <t>3.1.3-r-3</t>
  </si>
  <si>
    <t>Viešojo ekologiško transporto dalis nuo viso viešojo transporto parko Kauno regione</t>
  </si>
  <si>
    <t>3.1.4-r-1</t>
  </si>
  <si>
    <t>Sutvarkytų užterštų, apleistų teritorijų ir vandens telkinių skaičius Kauno regione</t>
  </si>
  <si>
    <t xml:space="preserve">354,9
(2013 m.)
</t>
  </si>
  <si>
    <t xml:space="preserve">0,06
(2012 m.)
</t>
  </si>
  <si>
    <t>Tikslas. Parengti regiono įvairių lygmenų teritorijų bei socialinės ekonominės plėtros planavimo dokumentus, diegti ir tobulinti planavimo sistemas.</t>
  </si>
  <si>
    <t>3.2.1-r-1</t>
  </si>
  <si>
    <t>Savivaldybių teritorijų ir jų dalių (miestų ir miestelių) atnaujintų bendrųjų, specialiųjų ir kt. planavimo dokumentų skaičius</t>
  </si>
  <si>
    <t>3.2.2-r-1</t>
  </si>
  <si>
    <t>Įdiegtos viešojo administravimo paslaugų gerinimo kokybės sistemos</t>
  </si>
  <si>
    <t>[2896,20–+∞) (labai gerai)</t>
  </si>
  <si>
    <r>
      <t>Kelių su patobulinta danga ilgis</t>
    </r>
    <r>
      <rPr>
        <sz val="11"/>
        <color theme="1"/>
        <rFont val="Times New Roman"/>
        <family val="1"/>
        <charset val="186"/>
      </rPr>
      <t xml:space="preserve"> nuo visų kelių ilgio Kauno regione</t>
    </r>
    <r>
      <rPr>
        <sz val="11"/>
        <color rgb="FF000000"/>
        <rFont val="Times New Roman"/>
        <family val="1"/>
        <charset val="186"/>
      </rPr>
      <t>, proc.</t>
    </r>
  </si>
  <si>
    <t xml:space="preserve">11,6
(2010–2012 m.)
</t>
  </si>
  <si>
    <t>[11,6–12,5] (blogai)</t>
  </si>
  <si>
    <t>(1882,53–2461,77) (gerai)</t>
  </si>
  <si>
    <t>(1592,91–1882,53] (patenkinamai)</t>
  </si>
  <si>
    <t>[0–1592,91] (blogai)</t>
  </si>
  <si>
    <t>(25,5–30) (gerai)</t>
  </si>
  <si>
    <t>(23,5–25,5] (patenkinamai)</t>
  </si>
  <si>
    <t>[0–23,5] (blogai)</t>
  </si>
  <si>
    <t>(250–500) (gerai)</t>
  </si>
  <si>
    <t>(125–250] (patenkinamai)</t>
  </si>
  <si>
    <t>[0–125] (blogai)</t>
  </si>
  <si>
    <t>[57–0] (labai gerai)</t>
  </si>
  <si>
    <t>(59–57) (gerai)</t>
  </si>
  <si>
    <t>(60,18–59] (patenkinamai)</t>
  </si>
  <si>
    <t>[100–60,18] (blogai)</t>
  </si>
  <si>
    <t>[0,85–0] (labai gerai)</t>
  </si>
  <si>
    <t>(0,95–0,85) (gerai)</t>
  </si>
  <si>
    <t>(1,12–0,95] (patenkinamai)</t>
  </si>
  <si>
    <t>[1–0] (labai gerai)</t>
  </si>
  <si>
    <t>(1,18–1) (gerai)</t>
  </si>
  <si>
    <t>(1,36–1,18] (patenkinamai)</t>
  </si>
  <si>
    <t>(0,062–0,056) (gerai)</t>
  </si>
  <si>
    <t>(0,067–0,062] (patenkinamai)</t>
  </si>
  <si>
    <t>(1111–1350] (patenkinamai)</t>
  </si>
  <si>
    <t>[0–1111] (blogai)</t>
  </si>
  <si>
    <t>(0,23–0,26] (patenkinamai)</t>
  </si>
  <si>
    <t>[0–0,23] (blogai)</t>
  </si>
  <si>
    <t>(260–290) (gerai)</t>
  </si>
  <si>
    <t>(223–260] (patenkinamai)</t>
  </si>
  <si>
    <t>[0–223] (blogai)</t>
  </si>
  <si>
    <t>[200–0] (labai gerai)</t>
  </si>
  <si>
    <t>(300–200) (gerai)</t>
  </si>
  <si>
    <t>[380–300] (patenkinamai)</t>
  </si>
  <si>
    <t>Rodiklį „Renovuotų geresnei energijos vartojimo klasei priskiriamų savivaldybėms priklausančių viešųjų pastatų skaičius, vienetais“ 2014–2020 m. ES struktūrinės paramos laikotarpiu planuoja skaičiuoti LR Aplinkos ministerija. Tai vienas iš 2014–2020 metų nacionalinės pažangos programos horizontaliojo prioriteto „Regioninė plėtra“ tarpinstitucinio veiklos plano įgyvendinimo stebėsenos kriterijų.
Kriterijaus reikšmės, bus nustatytos, kai bus gauti pirmieji rodiklio „Renovuotų geresnei energijos vartojimo klasei priskiriamų savivaldybėms priklausančių viešųjų pastatų skaičius, vienetais“ duomenys.</t>
  </si>
  <si>
    <t>(3600–7000) (gerai)</t>
  </si>
  <si>
    <t>(1900–3600] (patenkinamai)</t>
  </si>
  <si>
    <t>[0–1900] (blogai)</t>
  </si>
  <si>
    <t xml:space="preserve">Rodiklį „Renovuotų geresnei energijos vartojimo klasei priskiriamų savivaldybėms priklausančių viešųjų pastatų skaičius, vienetais“ 2014–2020 m. ES struktūrinės paramos laikotarpiu planuoja skaičiuoti LR Aplinkos ministerija. Tai vienas iš 2014–2020 metų nacionalinės pažangos programos horizontaliojo prioriteto „Regioninė plėtra“ tarpinstitucinio veiklos plano įgyvendinimo stebėsenos kriterijų.
Kriterijaus reikšmės, bus nustatytos, kai bus gauti pirmieji rodiklio „Renovuotų geresnei energijos vartojimo klasei priskiriamų savivaldybėms priklausančių viešųjų pastatų skaičius, vienetais“ duomenys.
</t>
  </si>
  <si>
    <t>[12–0] (labai gerai)</t>
  </si>
  <si>
    <t>(13,5–12) (gerai)</t>
  </si>
  <si>
    <t>(15–13,5] (patenkinamai)</t>
  </si>
  <si>
    <t>[100–15] (blogai)</t>
  </si>
  <si>
    <t>[ 7–8] (labai gerai)</t>
  </si>
  <si>
    <t>(6–7) (gerai)</t>
  </si>
  <si>
    <t>(5,74–6] (patenkinamai)</t>
  </si>
  <si>
    <t>[0–5,74] (blogai)</t>
  </si>
  <si>
    <t>(200–260) (gerai)</t>
  </si>
  <si>
    <t>(120–200] (patenkinamai)</t>
  </si>
  <si>
    <t>[0–110] (blogai)</t>
  </si>
  <si>
    <t>(46,8–47,2] (patenkinamai)</t>
  </si>
  <si>
    <t>[46,5–46,8] (blogai)</t>
  </si>
  <si>
    <t>(700–750) (gerai)</t>
  </si>
  <si>
    <t>(659–700] (patenkinamai)</t>
  </si>
  <si>
    <t>[0–659] (blogai)</t>
  </si>
  <si>
    <t>(180 704–200 000] (patenkinamai)</t>
  </si>
  <si>
    <t>[0–180 704] (blogai)</t>
  </si>
  <si>
    <t>[20–30] (labai gerai)</t>
  </si>
  <si>
    <t>(10–20) (gerai)</t>
  </si>
  <si>
    <t>(5,6–4,5] (patenkinamai)</t>
  </si>
  <si>
    <t>(26–50) (gerai)</t>
  </si>
  <si>
    <t>(13–26] (patenkinamai)</t>
  </si>
  <si>
    <t>[0–13] (blogai)</t>
  </si>
  <si>
    <t>(17–20) (gerai)</t>
  </si>
  <si>
    <t>(15,68–17] (patenkinamai)</t>
  </si>
  <si>
    <t>[15–15,68] (blogai)</t>
  </si>
  <si>
    <t>(5–10) (gerai)</t>
  </si>
  <si>
    <t>(3–5] (patenkinamai)</t>
  </si>
  <si>
    <t>[0–3] (blogai)</t>
  </si>
  <si>
    <t>(250–200) (gerai)</t>
  </si>
  <si>
    <t>(354,9–250] (patenkinamai)</t>
  </si>
  <si>
    <t>[0,01–0] (labai gerai)</t>
  </si>
  <si>
    <t>(0,03–0,01) (gerai)</t>
  </si>
  <si>
    <t>(0,06–0,03] (patenkinamai)</t>
  </si>
  <si>
    <t>[100–0,06] (blogai)</t>
  </si>
  <si>
    <t>(50–100] (patenkinamai)</t>
  </si>
  <si>
    <t>[0–50] (blogai)</t>
  </si>
  <si>
    <t>(150–250] (patenkinamai)</t>
  </si>
  <si>
    <t>[0–150] (blogai)</t>
  </si>
  <si>
    <t>(22–43) (gerai)</t>
  </si>
  <si>
    <t>(11–22] (patenkinamai)</t>
  </si>
  <si>
    <t>[0–11] (blogai)</t>
  </si>
  <si>
    <t>(15–29] (patenkinamai)</t>
  </si>
  <si>
    <t>[0–15] (blogai)</t>
  </si>
  <si>
    <t xml:space="preserve">380
(2013–2014 m.)
</t>
  </si>
  <si>
    <t>Pradinė reikšmė (2010–2014 m.)</t>
  </si>
  <si>
    <t>[2461,77–+∞) (labai gerai)</t>
  </si>
  <si>
    <t>[30–+∞) (labai gerai)</t>
  </si>
  <si>
    <t>[500–+∞) (labai gerai)</t>
  </si>
  <si>
    <t>(+∞–1,12] (blogai)</t>
  </si>
  <si>
    <t>( +∞–1,36] (blogai)</t>
  </si>
  <si>
    <t>(+∞–0,067] (blogai)</t>
  </si>
  <si>
    <t>[0,056–0] (labai gerai)</t>
  </si>
  <si>
    <t>[290–+∞) (labai gerai)</t>
  </si>
  <si>
    <t>[10–+∞) (labai gerai)</t>
  </si>
  <si>
    <t>(+∞–380] (blogai)</t>
  </si>
  <si>
    <t>[7000–+∞) (labai gerai)</t>
  </si>
  <si>
    <t>[ 260–+∞) (labai gerai)</t>
  </si>
  <si>
    <t>[750–+∞) (labai gerai)</t>
  </si>
  <si>
    <t>(+∞–5,6] (blogai)</t>
  </si>
  <si>
    <t>[50–+∞) (labai gerai)</t>
  </si>
  <si>
    <t>(+∞–354,9] (blogai)</t>
  </si>
  <si>
    <t>[43–+∞) (labai gerai)</t>
  </si>
  <si>
    <t>a</t>
  </si>
  <si>
    <t>b</t>
  </si>
  <si>
    <t>c</t>
  </si>
  <si>
    <t>(98,16;98,5)</t>
  </si>
  <si>
    <t>(98,5;98,8)</t>
  </si>
  <si>
    <t>(98,8;99,1)</t>
  </si>
  <si>
    <t>(99,1;99,4)</t>
  </si>
  <si>
    <t>(99,4;99,7)</t>
  </si>
  <si>
    <t>(99,7;100)</t>
  </si>
  <si>
    <t>(0;98,16)</t>
  </si>
  <si>
    <t>(0;98,5)</t>
  </si>
  <si>
    <t>(0;98,8)</t>
  </si>
  <si>
    <t>(0;99,1)</t>
  </si>
  <si>
    <t>(0;99,4)</t>
  </si>
  <si>
    <t>(0;99,7)</t>
  </si>
  <si>
    <t>(0; 10,83)</t>
  </si>
  <si>
    <t>(81,4;100)</t>
  </si>
  <si>
    <t>(81,7;100)</t>
  </si>
  <si>
    <t>(82;100)</t>
  </si>
  <si>
    <t>(81,1;81,4)</t>
  </si>
  <si>
    <t>(81,4;81,7)</t>
  </si>
  <si>
    <t>(81,7;82)</t>
  </si>
  <si>
    <t>(0;81,1)</t>
  </si>
  <si>
    <t>(0;81,4)</t>
  </si>
  <si>
    <t>(0;81,7)</t>
  </si>
  <si>
    <t>(0;82)</t>
  </si>
  <si>
    <t>(457;498)</t>
  </si>
  <si>
    <t>(498;539)</t>
  </si>
  <si>
    <t>(539;580)</t>
  </si>
  <si>
    <t>(0;457)</t>
  </si>
  <si>
    <t>(0;498)</t>
  </si>
  <si>
    <t>(0;539)</t>
  </si>
  <si>
    <t>(0;580)</t>
  </si>
  <si>
    <t>(498;+∞)</t>
  </si>
  <si>
    <t>(539;+∞)</t>
  </si>
  <si>
    <t>(580+∞)</t>
  </si>
  <si>
    <t>(700;+∞)</t>
  </si>
  <si>
    <t>18–24 m. amžiaus jaunimo, kuris neturi vidurinio išsilavinimo ir niekur nesimoko Kauno regione, dalis (proc.)</t>
  </si>
  <si>
    <t>(6,1;0)</t>
  </si>
  <si>
    <t>(5,9;0)</t>
  </si>
  <si>
    <t>(5,7;0)</t>
  </si>
  <si>
    <t>(5,2;0)</t>
  </si>
  <si>
    <t>(5;0)</t>
  </si>
  <si>
    <t>(6,3;6,1)</t>
  </si>
  <si>
    <t>(6,1;5,9)</t>
  </si>
  <si>
    <t>(5,9;5,7)</t>
  </si>
  <si>
    <t>(5,2;5)</t>
  </si>
  <si>
    <t>(45,49; 46,34)</t>
  </si>
  <si>
    <t>(41,81;42,57)</t>
  </si>
  <si>
    <t>(42,57;43,33)</t>
  </si>
  <si>
    <t>(44,84;45,59)</t>
  </si>
  <si>
    <t>(44,08;44,84)</t>
  </si>
  <si>
    <t>(43,33;44,08)</t>
  </si>
  <si>
    <t>Vidutinė gyvenimo trukmė Kauno regione, metai</t>
  </si>
  <si>
    <t>(75,33;75,6)</t>
  </si>
  <si>
    <t>(75,6;75,9)</t>
  </si>
  <si>
    <t>(75,9;76,2)</t>
  </si>
  <si>
    <t>(76,2;76,5)</t>
  </si>
  <si>
    <t>(76,5;76,7)</t>
  </si>
  <si>
    <t>(76,7;77)</t>
  </si>
  <si>
    <t>(0;75,33)</t>
  </si>
  <si>
    <t>(0;75,6)</t>
  </si>
  <si>
    <t>(0;75,9)</t>
  </si>
  <si>
    <t>(0;76,2)</t>
  </si>
  <si>
    <t>(0;76,5)</t>
  </si>
  <si>
    <t>(0;76,7)</t>
  </si>
  <si>
    <t>(2670;0)</t>
  </si>
  <si>
    <t>(2536;0)</t>
  </si>
  <si>
    <t>(2402;0)</t>
  </si>
  <si>
    <t>(2134;0)</t>
  </si>
  <si>
    <t>(2000;0)</t>
  </si>
  <si>
    <t>(2804;2670)</t>
  </si>
  <si>
    <t>(2670;2536)</t>
  </si>
  <si>
    <t>(2536;2402)</t>
  </si>
  <si>
    <t>(2134;2000)</t>
  </si>
  <si>
    <t>(75,6;+∞)</t>
  </si>
  <si>
    <t>(75,9;+∞)</t>
  </si>
  <si>
    <t>(76,2;+∞)</t>
  </si>
  <si>
    <t>(76,5;+∞)</t>
  </si>
  <si>
    <t>(76,7;+∞)</t>
  </si>
  <si>
    <t>(77;+∞)</t>
  </si>
  <si>
    <t>(6,35;6,0)</t>
  </si>
  <si>
    <t>(6,0;5,73)</t>
  </si>
  <si>
    <t>(5,73;5,42)</t>
  </si>
  <si>
    <t>(15,2;21)</t>
  </si>
  <si>
    <t>(21;26,8)</t>
  </si>
  <si>
    <t>(26,8;32,6)</t>
  </si>
  <si>
    <t>(0;15,2)</t>
  </si>
  <si>
    <t>(0;21)</t>
  </si>
  <si>
    <t>(0;26)</t>
  </si>
  <si>
    <t>(0;32,6)</t>
  </si>
  <si>
    <t>(21;+∞)</t>
  </si>
  <si>
    <t>(26,8;+∞)</t>
  </si>
  <si>
    <t>(32,6;+∞)</t>
  </si>
  <si>
    <t>(50;+∞)</t>
  </si>
  <si>
    <t>Savivaldybių, turinčių galiojančius savivaldybių teritorijų planavimo dokumentus skaičius</t>
  </si>
  <si>
    <r>
      <t>Kelių su danga ilgis</t>
    </r>
    <r>
      <rPr>
        <sz val="11"/>
        <color theme="1"/>
        <rFont val="Times New Roman"/>
        <family val="1"/>
        <charset val="186"/>
      </rPr>
      <t xml:space="preserve"> nuo visų kelių ilgio Kauno regione</t>
    </r>
    <r>
      <rPr>
        <sz val="11"/>
        <color rgb="FF000000"/>
        <rFont val="Times New Roman"/>
        <family val="1"/>
        <charset val="186"/>
      </rPr>
      <t xml:space="preserve">, proc. </t>
    </r>
  </si>
  <si>
    <t>(2561,40;2617,01)</t>
  </si>
  <si>
    <t>(2617,01;2672,61)</t>
  </si>
  <si>
    <t>(2672,61;2728,22)</t>
  </si>
  <si>
    <t>(2728,22;2783,83)</t>
  </si>
  <si>
    <t>(12,8;14)</t>
  </si>
  <si>
    <t>(11,6;12,8)</t>
  </si>
  <si>
    <t>(2505,79;2561,40)</t>
  </si>
  <si>
    <t>Materialinės investicijos tenkančios vienam gyventojui Kauno apskrityje, Eur.</t>
  </si>
  <si>
    <t>(1303,00;1468,66)</t>
  </si>
  <si>
    <t>(1468,66;1634,33)</t>
  </si>
  <si>
    <t>(1634,33;1799,99)</t>
  </si>
  <si>
    <t>(1799,99;1965,65)</t>
  </si>
  <si>
    <t>(1965,65;2131,31)</t>
  </si>
  <si>
    <t>(22,8;24)</t>
  </si>
  <si>
    <t>(24;25,2)</t>
  </si>
  <si>
    <t>(25,2;26,4)</t>
  </si>
  <si>
    <t>(21,56;22,8)</t>
  </si>
  <si>
    <t>(71;142)</t>
  </si>
  <si>
    <t>(142;213)</t>
  </si>
  <si>
    <t>(0;71)</t>
  </si>
  <si>
    <t>(60,18;59,7)</t>
  </si>
  <si>
    <t>(59,7;59,2)</t>
  </si>
  <si>
    <t>(59,2;58,7)</t>
  </si>
  <si>
    <t>(58,7;58,2)</t>
  </si>
  <si>
    <t>(58,2;57,7)</t>
  </si>
  <si>
    <t>(20,93;21,3)</t>
  </si>
  <si>
    <t>(21,3;21,7)</t>
  </si>
  <si>
    <t>(21,7;22,1)</t>
  </si>
  <si>
    <t>(1,12;1,08)</t>
  </si>
  <si>
    <t>(1,08;1,04)</t>
  </si>
  <si>
    <t>(1,04;1)</t>
  </si>
  <si>
    <t>(1;0,96)</t>
  </si>
  <si>
    <t>(0,96;0,92)</t>
  </si>
  <si>
    <t>(1,36;1,3)</t>
  </si>
  <si>
    <t>(1,3;1,25)</t>
  </si>
  <si>
    <t>(1,25;1,2)</t>
  </si>
  <si>
    <t>(1,2;1,15)</t>
  </si>
  <si>
    <t>(1,15;1,1)</t>
  </si>
  <si>
    <t>(0,067;0,065)</t>
  </si>
  <si>
    <t>(0,065;0,063)</t>
  </si>
  <si>
    <t>(0,063;0,061)</t>
  </si>
  <si>
    <t>(0,061;0,059)</t>
  </si>
  <si>
    <t>(0,059;0,058)</t>
  </si>
  <si>
    <t>(0,23;0,24)</t>
  </si>
  <si>
    <t>1.4.2-r-1</t>
  </si>
  <si>
    <t>(223;233)</t>
  </si>
  <si>
    <t>(243;253)</t>
  </si>
  <si>
    <t>(0;1)</t>
  </si>
  <si>
    <t>(380;354)</t>
  </si>
  <si>
    <t>(354;328)</t>
  </si>
  <si>
    <t>(+∞;380)</t>
  </si>
  <si>
    <t>(328;302)</t>
  </si>
  <si>
    <t>(302;276)</t>
  </si>
  <si>
    <t>(276;250)</t>
  </si>
  <si>
    <t>(0;1000)</t>
  </si>
  <si>
    <t>(1000;2000)</t>
  </si>
  <si>
    <t>(2000;3000)</t>
  </si>
  <si>
    <t>(3000;4000)</t>
  </si>
  <si>
    <t>(4000;5000)</t>
  </si>
  <si>
    <t>(14,6;14,2)</t>
  </si>
  <si>
    <t>(0;15)</t>
  </si>
  <si>
    <t>(14,2;13,8)</t>
  </si>
  <si>
    <t>Socialines paslaugas į namus gavusių asmenų skaičius Kauno regione</t>
  </si>
  <si>
    <t>(5,74;5,9)</t>
  </si>
  <si>
    <t>(5,9;6,1)</t>
  </si>
  <si>
    <t>(0;5,74)</t>
  </si>
  <si>
    <t>(6,1;6,3)</t>
  </si>
  <si>
    <t>(6,3;6,5)</t>
  </si>
  <si>
    <t>(6,5;6,7)</t>
  </si>
  <si>
    <t>(0;37)</t>
  </si>
  <si>
    <t>(37;74)</t>
  </si>
  <si>
    <t>(74;111)</t>
  </si>
  <si>
    <t>(111;148)</t>
  </si>
  <si>
    <t>(148;185)</t>
  </si>
  <si>
    <t>(0;46,5)</t>
  </si>
  <si>
    <t>(659;672)</t>
  </si>
  <si>
    <t>(0;659)</t>
  </si>
  <si>
    <t>(672;685)</t>
  </si>
  <si>
    <t>(685;698)</t>
  </si>
  <si>
    <t>(698;711)</t>
  </si>
  <si>
    <t>(711;724)</t>
  </si>
  <si>
    <t>(0;180704)</t>
  </si>
  <si>
    <t>(0;3)</t>
  </si>
  <si>
    <t>(3;6)</t>
  </si>
  <si>
    <t>(6;9)</t>
  </si>
  <si>
    <t>(9;12)</t>
  </si>
  <si>
    <t>(12;15)</t>
  </si>
  <si>
    <t>(5,6;5,2)</t>
  </si>
  <si>
    <t>(5,2;4,8)</t>
  </si>
  <si>
    <t>(4,8;4,4)</t>
  </si>
  <si>
    <t>(0;7)</t>
  </si>
  <si>
    <t>(7;14)</t>
  </si>
  <si>
    <t>(14;21)</t>
  </si>
  <si>
    <t>(21;28)</t>
  </si>
  <si>
    <t>(28;35)</t>
  </si>
  <si>
    <t>(15,68;16,3)</t>
  </si>
  <si>
    <t>(0;15,68)</t>
  </si>
  <si>
    <t>(16,3;16,9)</t>
  </si>
  <si>
    <t>(16,9;17,5)</t>
  </si>
  <si>
    <t>(19,3;20)</t>
  </si>
  <si>
    <t>(1;2)</t>
  </si>
  <si>
    <t>(2;4)</t>
  </si>
  <si>
    <t>(4;5)</t>
  </si>
  <si>
    <t>(5;7)</t>
  </si>
  <si>
    <t>(354,9;333)</t>
  </si>
  <si>
    <t>(+∞;354,9)</t>
  </si>
  <si>
    <t>(333;311)</t>
  </si>
  <si>
    <t>(311;289)</t>
  </si>
  <si>
    <t>(289;267)</t>
  </si>
  <si>
    <t>(267;245)</t>
  </si>
  <si>
    <t>(0,06;0,05)</t>
  </si>
  <si>
    <t>(+∞;0,06)</t>
  </si>
  <si>
    <t>(0,05;0,04)</t>
  </si>
  <si>
    <t>(0,04;0,03)</t>
  </si>
  <si>
    <t>(21;42)</t>
  </si>
  <si>
    <t>(0;45)</t>
  </si>
  <si>
    <t>(45;90)</t>
  </si>
  <si>
    <t>Ekologiško transporto dalis nuo viso viešojo transporto parko</t>
  </si>
  <si>
    <t>(0;6)</t>
  </si>
  <si>
    <t>(6;12)</t>
  </si>
  <si>
    <t>(12;18)</t>
  </si>
  <si>
    <t>(0;8)</t>
  </si>
  <si>
    <t>(8;16)</t>
  </si>
  <si>
    <t>(2;3)</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</si>
  <si>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</si>
  <si>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</si>
  <si>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</si>
  <si>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</si>
  <si>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</si>
  <si>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</si>
  <si>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</si>
  <si>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</si>
  <si>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</si>
  <si>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</si>
  <si>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</si>
  <si>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P.N.011</t>
  </si>
  <si>
    <t>Nuotekų valymo įrenginių rekonstrukcija ir (ar) nauja statyba</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</si>
  <si>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</si>
  <si>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</si>
  <si>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</si>
  <si>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</si>
  <si>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</si>
  <si>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</si>
  <si>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</si>
  <si>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</si>
  <si>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P.N.071</t>
  </si>
  <si>
    <t>Įgyvendintos visuomenės informavimo apie aplinką priemonės Skč.</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</si>
  <si>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</si>
  <si>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</si>
  <si>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</si>
  <si>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</si>
  <si>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</si>
  <si>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</si>
  <si>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</si>
  <si>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</si>
  <si>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P.N.602</t>
  </si>
  <si>
    <t>Apmokytų sveikatos ir kitų specialistų skaičius</t>
  </si>
  <si>
    <t>P.N.603</t>
  </si>
  <si>
    <t>Parengtų metodikų, tvarkų ir kt. dokumentų skaičius</t>
  </si>
  <si>
    <t>P.N.604</t>
  </si>
  <si>
    <t>Tuberkulioze sergantys pacientai, kuriems buvo suteiktos socialinės paramos priemonės (maisto talonų dalijimas ir kelionės išlaidų kompensavimas) tuberkuliozės ambulatorinio gydymo metu</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</si>
  <si>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</si>
  <si>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</si>
  <si>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</si>
  <si>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</si>
  <si>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</si>
  <si>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</si>
  <si>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P.N.915</t>
  </si>
  <si>
    <t>Viešojo valdymo institucijos, veiksmų programos lėšomis įgyvendinusios paslaugų ir aptarnavimo kokybės gerinimo priemones, Skč.</t>
  </si>
  <si>
    <t>P.S.321</t>
  </si>
  <si>
    <t>Įrengtų ar rekonstruotų dviračių ir/ar pėsčiųjų takų ir/ar trasų ilgis (km)</t>
  </si>
  <si>
    <t>P.S.322</t>
  </si>
  <si>
    <t>Rekonstruotų dviračių ir / ar pėsčiųjų takų ir / ar trasų ilgis, km</t>
  </si>
  <si>
    <t>P.S.323</t>
  </si>
  <si>
    <t>Įgyvendintos darnaus judumo priemonės (vnt.)</t>
  </si>
  <si>
    <t>P.S.325</t>
  </si>
  <si>
    <t>Įsigytos naujos ekologiškos viešojo transporto priemonės (vnt.)</t>
  </si>
  <si>
    <t>P.S.328</t>
  </si>
  <si>
    <t>Lietaus nuotėkio plotas, iš kurio surenkamam paviršiniam (lietaus) vandeniui tvarkyti, įrengta ir (ar) rekonstruota infrastruktūra, ha</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</si>
  <si>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</si>
  <si>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</si>
  <si>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</si>
  <si>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</si>
  <si>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</si>
  <si>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</si>
  <si>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</si>
  <si>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Išsaugoti, sutvarkyti ar atkurti įvairaus teritorinio lygmens kraštovaizdžio arealai (skaičius)</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</si>
  <si>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</si>
  <si>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</si>
  <si>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</si>
  <si>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</si>
  <si>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</si>
  <si>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</si>
  <si>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</si>
  <si>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r>
      <t>Naujos atviros erdvės (vietovėse nuo 1 iki 6 tūkst. gyv. išskyrus savivaldybių centrus) (m</t>
    </r>
    <r>
      <rPr>
        <vertAlign val="superscript"/>
        <sz val="10"/>
        <color indexed="63"/>
        <rFont val="Times New Roman"/>
        <family val="1"/>
      </rPr>
      <t>2</t>
    </r>
    <r>
      <rPr>
        <sz val="10"/>
        <color indexed="63"/>
        <rFont val="Times New Roman"/>
        <family val="1"/>
      </rPr>
      <t>)</t>
    </r>
  </si>
  <si>
    <t>P.S.365</t>
  </si>
  <si>
    <t>Atnaujinti ir pritaikyti naujai paskirčiai pastatai ir statiniai kaimo vietovėse (vietovėse nuo 1 iki 6 tūkst. gyv. išskyrus savivaldybių centrus) (m2)</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</si>
  <si>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</si>
  <si>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</si>
  <si>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</si>
  <si>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 xml:space="preserve">Švietimo ir kitų švietimo teikėjų įstaigos, kuriose pagal veiksmų programą ERPF lėšomis sukurta ar atnaujinta ne mažiau nei viena edukacinė erdvė </t>
  </si>
  <si>
    <t>P.S.415</t>
  </si>
  <si>
    <t>Viešojo valdymo institucijos, pagal programą  ESF lėšomis įgyvendinusios paslaugų ir (ar) aptarnavimo kokybei gerinti skirtas priemones, Skaičius</t>
  </si>
  <si>
    <t>P.S.416</t>
  </si>
  <si>
    <t>Viešojo valdymo institucijų darbuotojai, kurie dalyvavo pagal programą ESF lėšomis vykdytose veiklose, skirtose stiprinti teikiamų paslaugų ir (ar) aptarnavimo kokybės gerinimui reikalingas kompetencijas (vnt.)</t>
  </si>
  <si>
    <t>R.N.655</t>
  </si>
  <si>
    <t>R.N.091</t>
  </si>
  <si>
    <t>Teritorijų, kuriose įgyvendintos kraštovaizdžio formavimo priemonės, plotas, ha</t>
  </si>
  <si>
    <t>R.N.403</t>
  </si>
  <si>
    <t>Tikslinių grupių asmenys, gavę tiesioginės naudos iš investicijų į socialinių paslaugų infrastruktūrą</t>
  </si>
  <si>
    <t>P.B.232</t>
  </si>
  <si>
    <t>Metinis pirminės energijos suvartojimo viešuosiuose pastatuose sumažėjimas (kWh/per metus)</t>
  </si>
  <si>
    <t>P.S.372</t>
  </si>
  <si>
    <t>Tikslinių grupių asmenys, kurie dalyvavo informavimo, švietimo ir mokymo renginiuose bei sveikatos raštingumą didinančiose veiklose</t>
  </si>
  <si>
    <t>P.S.363</t>
  </si>
  <si>
    <t>Viešąsias sveikatos priežiūros paslaugas teikiančių įstaigų, kuriose pagerinta paslaugų teikimo infrastruktūra, skaičius</t>
  </si>
  <si>
    <t>P.S.339</t>
  </si>
  <si>
    <t>Įsigyti gatvių valymo įrenginiai (vnt)</t>
  </si>
  <si>
    <t>P.B.219</t>
  </si>
  <si>
    <t>Papildomi gyventojai, kuriems teikiamos pagerintos nuotekų tvarkymo paslaugos (asm.)</t>
  </si>
  <si>
    <t>P.S.319</t>
  </si>
  <si>
    <t>Modernizuoti centralizuoto šilumos tiekimo tinklai (km)</t>
  </si>
  <si>
    <t>P.B.230</t>
  </si>
  <si>
    <t>Papildomi atsinaujinančių išteklių energijos gamybos pajėgumai</t>
  </si>
  <si>
    <t>P.B.235</t>
  </si>
  <si>
    <t>Investicijas gavusios vaikų priežiūros arba švietimo infrastruktūros pajėgumas</t>
  </si>
  <si>
    <t>P.B.231</t>
  </si>
  <si>
    <t>Namų ūkių, priskirtų geresnei energijos vartojimo efektyvumo klasei, skaičius</t>
  </si>
  <si>
    <t>Šilumos vartotojai, kuriems šiluma tiekiama patikimiau ir pagerėjo tiekimo kokybė.</t>
  </si>
  <si>
    <t>Sugaištas kelionės automobilių keliais (išskyrus TEN-T kelius) laikas mln. val.</t>
  </si>
  <si>
    <t>P.N.508</t>
  </si>
  <si>
    <t>Bendras naujai nutiestų kelių ilgis (km)</t>
  </si>
  <si>
    <t>P.N.817</t>
  </si>
  <si>
    <t xml:space="preserve">Įrengti ženklinimo infrastruktūros objektai </t>
  </si>
  <si>
    <t>P.N.910</t>
  </si>
  <si>
    <t>Parengtos piliečių chartijos</t>
  </si>
  <si>
    <t>R.N.909</t>
  </si>
  <si>
    <t>Viešojo valdymo institucijos, pagal programą  ESF lėšomis įgyvendinusios paslaugų ir (ar) aptarnavimo kokybei gerinti skirtas priemones, skaičius</t>
  </si>
  <si>
    <t>R.N.404</t>
  </si>
  <si>
    <t>Investicijas gavusiose įstaigose esančios vietos socialinių paslaugų gavėjams</t>
  </si>
  <si>
    <t>P.N.028</t>
  </si>
  <si>
    <t>Esamų paviršinių nuotekų tvarkymo sistemų inventorizacija, proc.</t>
  </si>
  <si>
    <t>P.N.097</t>
  </si>
  <si>
    <t>Parengti aplinkos oro kokybės valdymo priemonių planai</t>
  </si>
  <si>
    <t>P.N.098</t>
  </si>
  <si>
    <t>Įvykdytos visuomenės informavimo apie aplinkos oro kokybės gerinimą kampanijos</t>
  </si>
  <si>
    <t>P.B.222</t>
  </si>
  <si>
    <t>Bendras rekultivuotos žemės plotas (ha)</t>
  </si>
  <si>
    <t>P.N.096</t>
  </si>
  <si>
    <t>Išvalytos ir sutvarkytos praeityje užterštos teritorijos (vnt.)</t>
  </si>
  <si>
    <t>P.N.094</t>
  </si>
  <si>
    <t>Rekultivuotų atvirais kasiniais pažeistų žemių skaičius</t>
  </si>
  <si>
    <t>P.S.380</t>
  </si>
  <si>
    <t>Pagal veiksmų programą ERPF lėšomis sukurtos naujos ikimokyklinio ir priešmokyklinio ugdymo vietos</t>
  </si>
  <si>
    <t>P.N.743</t>
  </si>
  <si>
    <t>Pagal veiksmų programą ERPF lėšomis atnaujintos ikimokyklinio ir/ar priešmokyklinio ugdymo grupės</t>
  </si>
  <si>
    <t>P.N.671</t>
  </si>
  <si>
    <t>Modernizuoti savivaldybių visuomenės sveikatos biurai</t>
  </si>
  <si>
    <t>P.S.324</t>
  </si>
  <si>
    <t>P.S.318</t>
  </si>
  <si>
    <t>Regioninio planavimo būdu įgyvendintų mažos apimties infrastruktūros projektų skaičius</t>
  </si>
  <si>
    <t>Gyventojų, kurie naudojasi geresnėmis paslaugomis / infrastruktūra, skaičius</t>
  </si>
  <si>
    <t>Veiksmų, kuriais remiamos investicijos į mažos apimties infrastruktūrą, skaičius</t>
  </si>
  <si>
    <t>1.1.1.1.</t>
  </si>
  <si>
    <t>P.N.722</t>
  </si>
  <si>
    <t>Suremontuotas stadionas</t>
  </si>
  <si>
    <t>Atnaujintas pastatas</t>
  </si>
  <si>
    <t>Atnaujinta sporto aikštelė</t>
  </si>
  <si>
    <t>Suremontuota sporto salė</t>
  </si>
  <si>
    <t>Įrengta sporto aikštelė</t>
  </si>
  <si>
    <t>Rekontruotas pastatas</t>
  </si>
  <si>
    <t xml:space="preserve">P.B.209 </t>
  </si>
  <si>
    <t xml:space="preserve">P.S.335 </t>
  </si>
  <si>
    <t>R.S.342</t>
  </si>
  <si>
    <t>A</t>
  </si>
  <si>
    <t>A. Regioninis BVP vienam gyventojui, to meto kainomis, palyginti su šalies vidurkiu, proc.</t>
  </si>
  <si>
    <t>Lietuvos statistikos departamentas</t>
  </si>
  <si>
    <t>Rodiklių duomenų bazė</t>
  </si>
  <si>
    <t>Bendrasis vidaus produktas tenkantis vienam gyventojui Kauno apskrityje, tūkst. Eur</t>
  </si>
  <si>
    <t>A. Regioninis BVP vienam gyventojui, to meto kainomis tūkst. Eur.</t>
  </si>
  <si>
    <t>A / B *100</t>
  </si>
  <si>
    <t xml:space="preserve">A. Vietinės reikšmės automobilių kelių su danga ilgis metų pabaigoje, km; </t>
  </si>
  <si>
    <t>B. Vietinės reikšmės automobilių kelių ilgis, km.</t>
  </si>
  <si>
    <t>A / B / 1000</t>
  </si>
  <si>
    <t>A. Apgyvendinta turistų apgyvendinimo įstaigose Kauno apskrityje;</t>
  </si>
  <si>
    <t>B. Kauno apskrities gyventojų skaičius.</t>
  </si>
  <si>
    <t>A. Tiesioginės užsienio investicijos, tenkančios vienam gyventojui Kauno apskrityje, metų pabaigoje, Eur.</t>
  </si>
  <si>
    <t>Įmonės diegiančios inovacijas – technologiniai ir netechnologiniai novatoriai Kauno apskrityje (proc. nuo visų įmonių)</t>
  </si>
  <si>
    <t>A. Įmonės diegusios inovacijas – technologiniai ir netechnologiniai novatoriai Kauno apskrityje palyginti su visomis įmonėmis.</t>
  </si>
  <si>
    <t>A. Materialinės investicijos, tenkančios vienam gyventojui Kauno apskrityje, Eur.</t>
  </si>
  <si>
    <t>A. Veikiančių mažų ir vidutinių įmonių skaičius metų pradžioje;</t>
  </si>
  <si>
    <t>A. Kauno apskrities savivaldybių verslo informacinių centrų aptarnautų unikalių SVV subjektų (fiziniai ir juridiniai asmenys) skaičius per metus</t>
  </si>
  <si>
    <t>Kauno apskrities savivaldybių verslo informaciniai centrai</t>
  </si>
  <si>
    <t>Metinės veiklos ataskaitos, tiesiogiai kreipiantis į duomenis renkančią instituciją ar įstaigą</t>
  </si>
  <si>
    <t>Regioninės plėtros departamento prie Vidaus reikalų ministerijos, Kauno apskrities skyrius</t>
  </si>
  <si>
    <t>Kasmet</t>
  </si>
  <si>
    <t xml:space="preserve">A. Vietinės reikšmės automobilių kelių su patobulinta danga ilgis metų pabaigoje, km; </t>
  </si>
  <si>
    <t>A. Kelių eismo įvykių skaičius;</t>
  </si>
  <si>
    <t>A. Kelių eismo įvykiuose sužeistųjų skaičius;</t>
  </si>
  <si>
    <t>A. Kelių eismo žuvusiųjų sužeistųjų skaičius;</t>
  </si>
  <si>
    <t>A. Suteikta nakvynių apgyvendinimo įstaigose Kauno apskrityje;</t>
  </si>
  <si>
    <t>A. Apgyvendinimo įstaigų skaičius Kauno apskrityje ;</t>
  </si>
  <si>
    <t>A. Lankytojų skaičius Lietuvos turizmo informacijos centruose Kauno apskrityje iš viso, asmenys;</t>
  </si>
  <si>
    <r>
      <t xml:space="preserve">A. Vietinės reikšmės automobilių žvyro kelių ilgis metų pabaigoje; </t>
    </r>
    <r>
      <rPr>
        <sz val="11"/>
        <color theme="1"/>
        <rFont val="Times New Roman"/>
        <family val="1"/>
        <charset val="186"/>
      </rPr>
      <t>Kauno apskrityje,</t>
    </r>
    <r>
      <rPr>
        <sz val="11"/>
        <color rgb="FF000000"/>
        <rFont val="Times New Roman"/>
        <family val="1"/>
        <charset val="186"/>
      </rPr>
      <t xml:space="preserve"> km </t>
    </r>
  </si>
  <si>
    <t>Prioritetas: PAŽANGI EKONOMIKA</t>
  </si>
  <si>
    <t>Prioritetas: GYVENIMO KOKYBĖ</t>
  </si>
  <si>
    <t>Kauno apskrities savivaldybių administracijos</t>
  </si>
  <si>
    <t>SFMIS informacija</t>
  </si>
  <si>
    <t>Tiesiogiai kreipiantis į duomenis renkančią instituciją ar įstaigą</t>
  </si>
  <si>
    <t>A. 18–24 metų jaunimo, neįgijusio vidutinio išsilavinimo ir nesimokančio Kauno apskrityje, dalis.</t>
  </si>
  <si>
    <t>A. Mokyklinio amžiaus vaikai nesimokantys mokykloje dėl socialinių, psichologinių ir kitų priežasčių Kauno apskrityje, asmenys.</t>
  </si>
  <si>
    <t>A / B * 100</t>
  </si>
  <si>
    <t xml:space="preserve">A. Renovuotų geresnei energijos vartojimo klasei priskiriamų savivaldybėms priklausančių viešųjų pastatų skaičius; </t>
  </si>
  <si>
    <t>B. Bendras Kauno regiono savivaldybėms priklausančių viešųjų pastatų skaičius.</t>
  </si>
  <si>
    <t>LR Aplinkos ministerija;</t>
  </si>
  <si>
    <t>2014–2020 metų nacionalinės pažangos programos horizontaliojo prioriteto „Regioninė plėtra“ tarpinstitucinio veiklos plano įgyvendinimo stebėsenos ataskaita;</t>
  </si>
  <si>
    <t>tiesiogiai kreipiantis į duomenis renkančią instituciją ar įstaigą</t>
  </si>
  <si>
    <t>A. Atskirų projektų mokymuose dalyvavusių žmonių Kauno apskrities savivaldybėse skaičius.</t>
  </si>
  <si>
    <t xml:space="preserve">A. Renovuotų geresnei energijos vartojimo klasei priskiriamų savivaldybėms priklausančių neformalaus švietimo įstaigų viešųjų pastatų skaičius; </t>
  </si>
  <si>
    <t>B. Bendras Kauno regiono savivaldybėms priklausančių neformalaus švietimo įstaigų viešųjų pastatų skaičius.</t>
  </si>
  <si>
    <t>A. Išlaidos socialinei pašalpai Kauno apskrityje, tūkst. Eur;</t>
  </si>
  <si>
    <t>Asmenys, gyvenantys namų ūkiuose, susiduriančiuose su ekonominiais sunkumais (dėl pinigų stokos negali laiku sumokėti būsto nuomos, komunalinių mokesčių, būsto ar kitų paskolų, kredito</t>
  </si>
  <si>
    <t>A. Asmenys Kauno apskrityje, gyvenantys namų ūkiuose, susiduriančiuose su ekonominiais sunkumais, proc.</t>
  </si>
  <si>
    <t>A. Socialinių paslaugų gavėjų namuose skaičius iš viso, Kauno apskrityje, asmenys.</t>
  </si>
  <si>
    <t>A. Įrengti nauji ar įsigyti socialiniai būstai, vienetais.</t>
  </si>
  <si>
    <t>A. Vidutinė gyvenimo trukmė Kauno regione, metai.</t>
  </si>
  <si>
    <t>A. Praktikuojančių gydytojų skaičius, tenkantis 10 tūkst. gyv.</t>
  </si>
  <si>
    <t>Renovuotų geresnei energijos vartojimo klasei priskiriamų savivaldybėms priklausančių sveikatos priežiūros įstaigų viešųjų pastatų skaičius nuo bendro savivaldybei priklausančių sveikatos įstaigų viešųjų pastatų skaičiaus</t>
  </si>
  <si>
    <t>A / Bendro Kauno B * 100</t>
  </si>
  <si>
    <t xml:space="preserve">A. Renovuotų geresnei energijos vartojimo klasei priskiriamų savivaldybėms priklausančių sveikatos priežiūros įstaigų viešųjų pastatų skaičius; </t>
  </si>
  <si>
    <t>B. Bendras Kauno regiono savivaldybėms priklausančių sveikatos priežiūros įstaigų viešųjų pastatų skaičius.</t>
  </si>
  <si>
    <t>A Užregistruotų nusikalstamų veikų skaičius Kauno apskrityje tenkantis 100 tūkst. gyventojų Kauno apskrityje.</t>
  </si>
  <si>
    <t>A. Kultūros centrai metų pabaigoje, mėgėjų meno kolektyvų skaičius Kauno apskrityje.</t>
  </si>
  <si>
    <t>A. Sporto varžybų ir sveikatingumo renginių dalyviai metų pabaigoje Kauno apskrityje.</t>
  </si>
  <si>
    <t>A. Naujai įsteigtų bendruomenės namų skaičius Kauno regione.</t>
  </si>
  <si>
    <t>A / B *1000</t>
  </si>
  <si>
    <t>A. Nepilnamečių padarytų nusikalstamų veikų skaičius, Kauno apskrityje;</t>
  </si>
  <si>
    <t>B. 0-18 metų gyventojų skaičius metų pradžioje, Kauno apskrityje, asmenys.</t>
  </si>
  <si>
    <t>A. / B * 100</t>
  </si>
  <si>
    <t>A. Užimtieji žemės ūkio, miškininkystės ir žuvininkystės sektoriuose Kauno apskrityje, tūkst.</t>
  </si>
  <si>
    <t>B. Užimtieji iš viso pagal ekonomines veiklos rūšis, Kauno apskrityje, tūkst..</t>
  </si>
  <si>
    <t>A. Naujai įsikūrusių bendruomenių skaičius kaimo vietovėse Kauno regiono savivaldybėse.</t>
  </si>
  <si>
    <t>A. Ūkių vidutinis dydis pagal žemės ūkio naudmenas Kauno regione, ha</t>
  </si>
  <si>
    <t>VĮ Žemės ūkio informacijos ir kaimo verslo centras</t>
  </si>
  <si>
    <t>Lietuvos Respublikos žemės ūkio ir kaimo verslo registro duomenų apžvalgos</t>
  </si>
  <si>
    <t>Valstybės įmonė Žemės ūkio informacijos ir kaimo verslo centras</t>
  </si>
  <si>
    <t>Prioritetas: ŽMOGAUS IR APLINKOS SANTARA</t>
  </si>
  <si>
    <t>A / B * 100 proc.</t>
  </si>
  <si>
    <t>A. Perdirbtų / panaudotų komunalinių atliekų kiekis Kauno regiono savivaldybėse (Birštono, Jonavos r., Kaišiadorių, Kauno r. Kauno m., Kėdainių r., Prienų r., Raseinių r.), t;</t>
  </si>
  <si>
    <t>B. Iš viso surinktas komunalinių atliekų kiekis Kauno regiono savivaldybėse (Birštono, Jonavos r., Kaišiadorių, Kauno r. Kauno m., Kėdainių r., Prienų r., Raseinių r.), t .</t>
  </si>
  <si>
    <t>BĮ Aplinkos apsaugos agentūra</t>
  </si>
  <si>
    <t>Atliekų apskaitos duomenys, Informacija apie komunalinių atliekų tvarkymo sistemas Lietuvos savivaldybėse</t>
  </si>
  <si>
    <t>A. Rekultivuotų sąvartynų Kauno regiono savivaldybėse (Birštono, Jonavos r., Kaišiadorių, Kauno r. Kauno m., Kėdainių r., Prienų r., Raseinių r.) skaičius.</t>
  </si>
  <si>
    <t>VšĮ Kauno regiono atliekų tvarkymo centras;</t>
  </si>
  <si>
    <t>UAB Alytaus regiono atliekų tvarkymo centras;</t>
  </si>
  <si>
    <t>Metinės ataskaitos, informacija;</t>
  </si>
  <si>
    <t>Informacija apie komunalinių atliekų tvarkymo sistemas Lietuvos savivaldybėse</t>
  </si>
  <si>
    <t>A. Atskirų komunalinių atliekų srautų surinkimo kiekiai Kauno regiono savivaldybėse (Birštono, Jonavos r., Kaišiadorių, Kauno r. Kauno m., Kėdainių r., Prienų r., Raseinių r.) iš viso, t;</t>
  </si>
  <si>
    <t>B. Gyventojų skaičius Kauno apskrityje metų pradžioje, asmenys.</t>
  </si>
  <si>
    <t>BĮ Aplinkos apsaugos agentūra,</t>
  </si>
  <si>
    <t>Atliekų apskaitos duomenys, Informacija apie komunalinių atliekų tvarkymo sistemas Lietuvos savivaldybėse;</t>
  </si>
  <si>
    <t>(A + B) / C * 100</t>
  </si>
  <si>
    <t>C. Iš viso išleista ūkio, buities ir gamybos nuotekų į paviršinius vandenis, tūkst. m³.</t>
  </si>
  <si>
    <t>A. Naujų ir renovuotų centralizuoto geriamo vandens tinklų Kauno regiono savivaldybėse (Birštono, Jonavos r., Kaišiadorių, Kauno r. Kauno m., Kėdainių r., Prienų r., Raseinių r.) ilgis km;</t>
  </si>
  <si>
    <t>Birštono vandentiekis;</t>
  </si>
  <si>
    <t>Jonavos vandenys;</t>
  </si>
  <si>
    <t>Kaišiadorių vandenys;</t>
  </si>
  <si>
    <t>Kauno vandenys;</t>
  </si>
  <si>
    <t>Kėdainių vandenys;</t>
  </si>
  <si>
    <t>Prienų vandenys;</t>
  </si>
  <si>
    <t>Raseinių vandenys</t>
  </si>
  <si>
    <t>LR Aplinkos ministerija</t>
  </si>
  <si>
    <t>A. Renovuotų daugiabučių Kauno apskrities savivaldybėse skaičius.</t>
  </si>
  <si>
    <t>A. Viešojo ekologiško transporto dalis nuo viso viešojo transporto parko Kauno regione;</t>
  </si>
  <si>
    <t>B. Kauno regiono savivaldybių viešojo transporto priemonių skaičius iš viso.</t>
  </si>
  <si>
    <t>A. Sutvarkytų užterštų, apleistų teritorijų ir vandens telkinių skaičius Kauno regione.</t>
  </si>
  <si>
    <t>SFMIS;</t>
  </si>
  <si>
    <t>A. Savivaldybių, turinčių galiojančius savivaldybių teritorijų planavimo dokumentus skaičius.</t>
  </si>
  <si>
    <t>Kauno apskrities savivaldybių tinklapiai</t>
  </si>
  <si>
    <t>A. Savivaldybių teritorijų ir jų dalių (miestų ir miestelių) atnaujintų bendrųjų, specialiųjų ir kt. planavimo dokumentų skaičius</t>
  </si>
  <si>
    <t>A. Įdiegtos viešojo administravimo paslaugų gerinimo kokybės sistemos Kauno apskrities savivaldybėse.</t>
  </si>
  <si>
    <t>Periodinis, kasmet</t>
  </si>
  <si>
    <t>+</t>
  </si>
  <si>
    <t>0 Eur</t>
  </si>
  <si>
    <t>Periodinis, kas ketvirtį</t>
  </si>
  <si>
    <r>
      <t>Tikslas</t>
    </r>
    <r>
      <rPr>
        <sz val="11"/>
        <color theme="1"/>
        <rFont val="Times New Roman"/>
        <family val="1"/>
        <charset val="186"/>
      </rPr>
      <t>. Plėtoti Kauno regioną kaip mokslo ir verslo partneryste pagrįstą aukštos pridėtinės vertės pramonės kraštą</t>
    </r>
  </si>
  <si>
    <r>
      <t>Tikslas.</t>
    </r>
    <r>
      <rPr>
        <sz val="11"/>
        <color theme="1"/>
        <rFont val="Times New Roman"/>
        <family val="1"/>
        <charset val="186"/>
      </rPr>
      <t xml:space="preserve"> Padidinti gyventojų verslumą ir užimtumą, kuriant ir išlaikant darbo vietas, didinant verslo įvairovę ir darbo vietų pasiekiamumą</t>
    </r>
  </si>
  <si>
    <r>
      <t>Tikslas.</t>
    </r>
    <r>
      <rPr>
        <sz val="11"/>
        <color theme="1"/>
        <rFont val="Times New Roman"/>
        <family val="1"/>
        <charset val="186"/>
      </rPr>
      <t xml:space="preserve"> Plėtoti regiono transporto infrastruktūrą</t>
    </r>
  </si>
  <si>
    <r>
      <t>Tikslas.</t>
    </r>
    <r>
      <rPr>
        <sz val="11"/>
        <color theme="1"/>
        <rFont val="Times New Roman"/>
        <family val="1"/>
        <charset val="186"/>
      </rPr>
      <t xml:space="preserve"> Siekti, kad Kauno regionas taptų tarptautinio ir vietinio turizmo bei įvairiapusiškų poilsio paslaugų centru</t>
    </r>
  </si>
  <si>
    <r>
      <t xml:space="preserve">Tikslas. </t>
    </r>
    <r>
      <rPr>
        <sz val="11"/>
        <color theme="1"/>
        <rFont val="Times New Roman"/>
        <family val="1"/>
        <charset val="186"/>
      </rPr>
      <t>Vystyti subalansuotą mokymosi sistemą.</t>
    </r>
  </si>
  <si>
    <r>
      <t xml:space="preserve">Tikslas. </t>
    </r>
    <r>
      <rPr>
        <sz val="11"/>
        <color theme="1"/>
        <rFont val="Times New Roman"/>
        <family val="1"/>
        <charset val="186"/>
      </rPr>
      <t>Užtikrinti teikiamų socialinių paslaugų prieinamumą.</t>
    </r>
  </si>
  <si>
    <r>
      <t>Tikslas.</t>
    </r>
    <r>
      <rPr>
        <sz val="11"/>
        <color theme="1"/>
        <rFont val="Times New Roman"/>
        <family val="1"/>
        <charset val="186"/>
      </rPr>
      <t xml:space="preserve"> Plėtoti Kauno regioną kaip vieną iš Europos sveikatos regionų.</t>
    </r>
  </si>
  <si>
    <r>
      <t xml:space="preserve">Tikslas. </t>
    </r>
    <r>
      <rPr>
        <sz val="11"/>
        <color rgb="FF000000"/>
        <rFont val="Times New Roman"/>
        <family val="1"/>
        <charset val="186"/>
      </rPr>
      <t>Plėtoti socialinę infrastruktūrą ir bendruomenines iniciatyvas, skirtas gyventojų gyvenimo kokybės ir gyvenamosios aplinkos gerinimui.</t>
    </r>
    <r>
      <rPr>
        <b/>
        <sz val="11"/>
        <color rgb="FF000000"/>
        <rFont val="Times New Roman"/>
        <family val="1"/>
        <charset val="186"/>
      </rPr>
      <t xml:space="preserve">  </t>
    </r>
  </si>
  <si>
    <r>
      <t xml:space="preserve">Tikslas. </t>
    </r>
    <r>
      <rPr>
        <sz val="11"/>
        <color rgb="FF000000"/>
        <rFont val="Times New Roman"/>
        <family val="1"/>
        <charset val="186"/>
      </rPr>
      <t>Visapusiškai vystyti ir modernizuoti kaimo vietoves ir verslą kaime</t>
    </r>
  </si>
  <si>
    <r>
      <t>Tikslas.</t>
    </r>
    <r>
      <rPr>
        <sz val="11"/>
        <color theme="1"/>
        <rFont val="Times New Roman"/>
        <family val="1"/>
        <charset val="186"/>
      </rPr>
      <t xml:space="preserve"> Skatinti darnų išteklių naudojimą, užtikrinti ekosistemų stabilumą Kauno regione</t>
    </r>
    <r>
      <rPr>
        <b/>
        <sz val="11"/>
        <color theme="1"/>
        <rFont val="Times New Roman"/>
        <family val="1"/>
        <charset val="186"/>
      </rPr>
      <t>.</t>
    </r>
  </si>
  <si>
    <r>
      <t xml:space="preserve">Tikslas. </t>
    </r>
    <r>
      <rPr>
        <sz val="11"/>
        <color theme="1"/>
        <rFont val="Times New Roman"/>
        <family val="1"/>
        <charset val="186"/>
      </rPr>
      <t>Parengti regiono įvairių lygmenų teritorijų bei socialinės ekonominės plėtros planavimo dokumentus, diegti ir tobulinti planavimo sistemas.</t>
    </r>
  </si>
  <si>
    <r>
      <t>Tikslas</t>
    </r>
    <r>
      <rPr>
        <sz val="11"/>
        <color theme="1"/>
        <rFont val="Times New Roman"/>
        <family val="1"/>
        <charset val="186"/>
      </rPr>
      <t xml:space="preserve">. Plėtoti Kauno regioną kaip mokslo ir verslo partneryste pagrįstą aukštos pridėtinės vertės pramonės kraštą </t>
    </r>
  </si>
  <si>
    <r>
      <t xml:space="preserve">Uždavinys. </t>
    </r>
    <r>
      <rPr>
        <sz val="11"/>
        <color theme="1"/>
        <rFont val="Times New Roman"/>
        <family val="1"/>
        <charset val="186"/>
      </rPr>
      <t>Šalies ir tarptautiniu mastu įtvirtinti Kauno regiono, kaip modernios ir konkurencingos pramonės krašto, įvaizdį.</t>
    </r>
  </si>
  <si>
    <r>
      <t>Uždavinys.</t>
    </r>
    <r>
      <rPr>
        <sz val="11"/>
        <color theme="1"/>
        <rFont val="Times New Roman"/>
        <family val="1"/>
        <charset val="186"/>
      </rPr>
      <t xml:space="preserve"> Sudaryti sąlygas modernios bei konkurencingos pramonės plėtotei, investicijoms, kuriant darbo vietas, socialiai atsakingą verslą, užtikrinant darnią ir kompleksišką regiono plėtrą.</t>
    </r>
  </si>
  <si>
    <r>
      <t>Uždavinys</t>
    </r>
    <r>
      <rPr>
        <sz val="11"/>
        <color theme="1"/>
        <rFont val="Times New Roman"/>
        <family val="1"/>
        <charset val="186"/>
      </rPr>
      <t>. Skatinti verslumą ir ūkio įvairovę, pritaikant viešuosius statinius verslo ir bendruomeniniams poreikiams</t>
    </r>
  </si>
  <si>
    <r>
      <t>Uždavinys</t>
    </r>
    <r>
      <rPr>
        <sz val="11"/>
        <color theme="1"/>
        <rFont val="Times New Roman"/>
        <family val="1"/>
        <charset val="186"/>
      </rPr>
      <t>. Kurti naujas darbo vietas, pritraukiant investicijas į viešąsias (apleistas, nenaudojamas ir nepakankamai naudojamas) erdves</t>
    </r>
  </si>
  <si>
    <r>
      <t>Uždavinys.</t>
    </r>
    <r>
      <rPr>
        <sz val="11"/>
        <color theme="1"/>
        <rFont val="Times New Roman"/>
        <family val="1"/>
        <charset val="186"/>
      </rPr>
      <t xml:space="preserve"> Didinti darbo jėgos mobilumą, gerinant darbo vietų pasiekiamumą</t>
    </r>
  </si>
  <si>
    <r>
      <t>Uždavinys.</t>
    </r>
    <r>
      <rPr>
        <b/>
        <i/>
        <sz val="11"/>
        <color theme="1"/>
        <rFont val="Times New Roman"/>
        <family val="1"/>
        <charset val="186"/>
      </rPr>
      <t xml:space="preserve"> </t>
    </r>
    <r>
      <rPr>
        <sz val="11"/>
        <color theme="1"/>
        <rFont val="Times New Roman"/>
        <family val="1"/>
        <charset val="186"/>
      </rPr>
      <t>Vystyti poilsio, pramogų, rekreacinio sporto ir turizmo paslaugų infrastruktūrą, užtikrinant teikiamų turizmo paslaugų visapusiškumą bei gerinant paslaugų kokybę.</t>
    </r>
  </si>
  <si>
    <r>
      <t>Uždavinys.</t>
    </r>
    <r>
      <rPr>
        <sz val="11"/>
        <color theme="1"/>
        <rFont val="Times New Roman"/>
        <family val="1"/>
        <charset val="186"/>
      </rPr>
      <t xml:space="preserve"> Diegti ir plėtoti turizmo informacinę sistemą ir aktyviai vykdyti rinkodarą. </t>
    </r>
  </si>
  <si>
    <r>
      <t>Uždavinys.</t>
    </r>
    <r>
      <rPr>
        <sz val="11"/>
        <color theme="1"/>
        <rFont val="Times New Roman"/>
        <family val="1"/>
        <charset val="186"/>
      </rPr>
      <t xml:space="preserve"> Skatinti mokymo įstaigų tipų įvairovę bei racionaliai plėtoti šių įstaigų tinklą ir tobulinti jų teikiamas paslaugas.</t>
    </r>
  </si>
  <si>
    <r>
      <t>Uždavinys.</t>
    </r>
    <r>
      <rPr>
        <i/>
        <sz val="11"/>
        <color theme="1"/>
        <rFont val="Times New Roman"/>
        <family val="1"/>
        <charset val="186"/>
      </rPr>
      <t xml:space="preserve"> </t>
    </r>
    <r>
      <rPr>
        <sz val="11"/>
        <color theme="1"/>
        <rFont val="Times New Roman"/>
        <family val="1"/>
        <charset val="186"/>
      </rPr>
      <t>Renovuoti ir modernizuoti švietimo, ugdymo įstaigas bei jų infrastruktūrą</t>
    </r>
  </si>
  <si>
    <r>
      <t>Uždavinys.</t>
    </r>
    <r>
      <rPr>
        <i/>
        <sz val="11"/>
        <color theme="1"/>
        <rFont val="Times New Roman"/>
        <family val="1"/>
        <charset val="186"/>
      </rPr>
      <t xml:space="preserve"> </t>
    </r>
    <r>
      <rPr>
        <sz val="11"/>
        <color theme="1"/>
        <rFont val="Times New Roman"/>
        <family val="1"/>
        <charset val="186"/>
      </rPr>
      <t>Kurti ir tobulinti mokymosi visą gyvenimą sistemą ir skatinti kvalifikacijos kėlimą.</t>
    </r>
  </si>
  <si>
    <r>
      <t>Uždavinys.</t>
    </r>
    <r>
      <rPr>
        <i/>
        <sz val="11"/>
        <color theme="1"/>
        <rFont val="Times New Roman"/>
        <family val="1"/>
        <charset val="186"/>
      </rPr>
      <t xml:space="preserve"> </t>
    </r>
    <r>
      <rPr>
        <sz val="11"/>
        <color theme="1"/>
        <rFont val="Times New Roman"/>
        <family val="1"/>
        <charset val="186"/>
      </rPr>
      <t>Skatinti neformalaus švietimo iniciatyvas</t>
    </r>
  </si>
  <si>
    <r>
      <t>Uždavinys.</t>
    </r>
    <r>
      <rPr>
        <i/>
        <sz val="11"/>
        <color theme="1"/>
        <rFont val="Times New Roman"/>
        <family val="1"/>
        <charset val="186"/>
      </rPr>
      <t xml:space="preserve"> </t>
    </r>
    <r>
      <rPr>
        <sz val="11"/>
        <color theme="1"/>
        <rFont val="Times New Roman"/>
        <family val="1"/>
        <charset val="186"/>
      </rPr>
      <t>Plėtoti socialines paslaugas, skirtas socialiai pažeidžiamų grupių asmenų integravimui į regiono socialinį ir ekonominį gyvenimą.</t>
    </r>
  </si>
  <si>
    <r>
      <t>Uždavinys.</t>
    </r>
    <r>
      <rPr>
        <b/>
        <i/>
        <sz val="11"/>
        <color theme="1"/>
        <rFont val="Times New Roman"/>
        <family val="1"/>
        <charset val="186"/>
      </rPr>
      <t xml:space="preserve"> </t>
    </r>
    <r>
      <rPr>
        <sz val="11"/>
        <color theme="1"/>
        <rFont val="Times New Roman"/>
        <family val="1"/>
        <charset val="186"/>
      </rPr>
      <t>Efektyviai plėtoti ir modernizuoti socialinio būsto sistemą.</t>
    </r>
  </si>
  <si>
    <r>
      <t>Uždavinys.</t>
    </r>
    <r>
      <rPr>
        <sz val="11"/>
        <color theme="1"/>
        <rFont val="Times New Roman"/>
        <family val="1"/>
        <charset val="186"/>
      </rPr>
      <t xml:space="preserve"> Plėtoti sveikatą stiprinančio Kauno regiono iniciatyvas</t>
    </r>
  </si>
  <si>
    <r>
      <t>Uždavinys.</t>
    </r>
    <r>
      <rPr>
        <i/>
        <sz val="11"/>
        <color theme="1"/>
        <rFont val="Times New Roman"/>
        <family val="1"/>
        <charset val="186"/>
      </rPr>
      <t xml:space="preserve"> </t>
    </r>
    <r>
      <rPr>
        <sz val="11"/>
        <color theme="1"/>
        <rFont val="Times New Roman"/>
        <family val="1"/>
        <charset val="186"/>
      </rPr>
      <t>Optimizuoti sveikatos priežiūros paslaugų struktūrą ir plėtoti infrastruktūrą.</t>
    </r>
  </si>
  <si>
    <r>
      <t>Uždavinys.</t>
    </r>
    <r>
      <rPr>
        <b/>
        <i/>
        <sz val="11"/>
        <color theme="1"/>
        <rFont val="Times New Roman"/>
        <family val="1"/>
        <charset val="186"/>
      </rPr>
      <t xml:space="preserve"> </t>
    </r>
    <r>
      <rPr>
        <sz val="11"/>
        <color theme="1"/>
        <rFont val="Times New Roman"/>
        <family val="1"/>
        <charset val="186"/>
      </rPr>
      <t>Atnaujinti ir plėtoti gyvenamąją, kultūros ir sporto infrastruktūrą, gerinti paslaugų kokybę.</t>
    </r>
  </si>
  <si>
    <r>
      <t>Uždavinys.</t>
    </r>
    <r>
      <rPr>
        <b/>
        <i/>
        <sz val="11"/>
        <color theme="1"/>
        <rFont val="Times New Roman"/>
        <family val="1"/>
        <charset val="186"/>
      </rPr>
      <t xml:space="preserve"> </t>
    </r>
    <r>
      <rPr>
        <sz val="11"/>
        <color theme="1"/>
        <rFont val="Times New Roman"/>
        <family val="1"/>
        <charset val="186"/>
      </rPr>
      <t>Atnaujinti ir plėtoti kultūros ir sporto infrastruktūrą, gerinti paslaugų kokybę.</t>
    </r>
  </si>
  <si>
    <r>
      <t>Uždavinys.</t>
    </r>
    <r>
      <rPr>
        <b/>
        <i/>
        <sz val="11"/>
        <color theme="1"/>
        <rFont val="Times New Roman"/>
        <family val="1"/>
        <charset val="186"/>
      </rPr>
      <t xml:space="preserve"> </t>
    </r>
    <r>
      <rPr>
        <sz val="11"/>
        <color theme="1"/>
        <rFont val="Times New Roman"/>
        <family val="1"/>
        <charset val="186"/>
      </rPr>
      <t>Remti bendruomenines iniciatyvas ir prevencines bei edukacines programas</t>
    </r>
  </si>
  <si>
    <r>
      <t xml:space="preserve">Uždavinys. </t>
    </r>
    <r>
      <rPr>
        <sz val="11"/>
        <color rgb="FF000000"/>
        <rFont val="Times New Roman"/>
        <family val="1"/>
        <charset val="186"/>
      </rPr>
      <t>Stiprinti kaimo bendruomenes bei gerinti bendruomeninę infrastruktūrą.</t>
    </r>
  </si>
  <si>
    <r>
      <t>Uždavinys.</t>
    </r>
    <r>
      <rPr>
        <b/>
        <i/>
        <sz val="11"/>
        <color theme="1"/>
        <rFont val="Times New Roman"/>
        <family val="1"/>
        <charset val="186"/>
      </rPr>
      <t xml:space="preserve"> </t>
    </r>
    <r>
      <rPr>
        <sz val="11"/>
        <color rgb="FF000000"/>
        <rFont val="Times New Roman"/>
        <family val="1"/>
        <charset val="186"/>
      </rPr>
      <t>Įdiegti ir plėtoti šiuolaikišką regiono atliekų tvarkymo, oro taršos kontrolės ir triukšmo prevencines sistemas, skatinti aplinkosauginį švietimą.</t>
    </r>
  </si>
  <si>
    <r>
      <t>Uždavinys</t>
    </r>
    <r>
      <rPr>
        <sz val="11"/>
        <color theme="1"/>
        <rFont val="Times New Roman"/>
        <family val="1"/>
        <charset val="186"/>
      </rPr>
      <t>. Modernizuoti ir plėsti geriamojo vandens tiekimo ir nuotekų tvarkymo infrastruktūrą.</t>
    </r>
  </si>
  <si>
    <r>
      <t>Uždavinys.</t>
    </r>
    <r>
      <rPr>
        <b/>
        <i/>
        <sz val="11"/>
        <color theme="1"/>
        <rFont val="Times New Roman"/>
        <family val="1"/>
        <charset val="186"/>
      </rPr>
      <t xml:space="preserve"> </t>
    </r>
    <r>
      <rPr>
        <sz val="11"/>
        <color theme="1"/>
        <rFont val="Times New Roman"/>
        <family val="1"/>
        <charset val="186"/>
      </rPr>
      <t>Skatinti veiksmingesnį energijos ir kitų gamtos išteklių naudojimą.</t>
    </r>
  </si>
  <si>
    <r>
      <t>Uždavinys.</t>
    </r>
    <r>
      <rPr>
        <b/>
        <i/>
        <sz val="11"/>
        <color theme="1"/>
        <rFont val="Times New Roman"/>
        <family val="1"/>
        <charset val="186"/>
      </rPr>
      <t xml:space="preserve"> </t>
    </r>
    <r>
      <rPr>
        <sz val="11"/>
        <color theme="1"/>
        <rFont val="Times New Roman"/>
        <family val="1"/>
        <charset val="186"/>
      </rPr>
      <t>Užtikrinti efektyvią kraštovaizdžio apsaugą, didinti ekologinį teritorijų stabilumą.</t>
    </r>
  </si>
  <si>
    <r>
      <t xml:space="preserve">Uždavinys. </t>
    </r>
    <r>
      <rPr>
        <sz val="11"/>
        <color theme="1"/>
        <rFont val="Times New Roman"/>
        <family val="1"/>
        <charset val="186"/>
      </rPr>
      <t>Parengti ir atnaujinti regiono ir savivaldybių teritorijų bendruosius planus bei kitus dokumentus, susijusius su planavimu, viešųjų paslaugų kokybės gerinimu, siekiant planavimo procesuose integruoti aplinkos interesus į įvairias ūkio šakas</t>
    </r>
  </si>
  <si>
    <r>
      <t>Uždavinys.</t>
    </r>
    <r>
      <rPr>
        <b/>
        <i/>
        <sz val="11"/>
        <color theme="1"/>
        <rFont val="Times New Roman"/>
        <family val="1"/>
        <charset val="186"/>
      </rPr>
      <t xml:space="preserve"> </t>
    </r>
    <r>
      <rPr>
        <sz val="11"/>
        <color theme="1"/>
        <rFont val="Times New Roman"/>
        <family val="1"/>
        <charset val="186"/>
      </rPr>
      <t>Diegti ir tobulinti sistemas, susijusias su viešojo administravimo efektyvumu.</t>
    </r>
  </si>
  <si>
    <r>
      <t>6 lentelė.</t>
    </r>
    <r>
      <rPr>
        <sz val="11"/>
        <color theme="1"/>
        <rFont val="Times New Roman"/>
        <family val="1"/>
        <charset val="186"/>
      </rPr>
      <t xml:space="preserve"> </t>
    </r>
    <r>
      <rPr>
        <b/>
        <sz val="11"/>
        <color theme="1"/>
        <rFont val="Times New Roman"/>
        <family val="1"/>
        <charset val="186"/>
      </rPr>
      <t>Vertinimo kriterijų reikšmių apskaičiavimo metodai, dalyvaujančios institucijos ir duomenų šaltiniai.</t>
    </r>
  </si>
  <si>
    <r>
      <t>7 lentelė.</t>
    </r>
    <r>
      <rPr>
        <sz val="11"/>
        <color theme="1"/>
        <rFont val="Times New Roman"/>
        <family val="1"/>
        <charset val="186"/>
      </rPr>
      <t xml:space="preserve"> </t>
    </r>
    <r>
      <rPr>
        <b/>
        <sz val="11"/>
        <color theme="1"/>
        <rFont val="Times New Roman"/>
        <family val="1"/>
        <charset val="186"/>
      </rPr>
      <t>Visuomenės informavimo apie plano įgyvendinimą priemonės.</t>
    </r>
  </si>
  <si>
    <t>1.3.1-r-4</t>
  </si>
  <si>
    <t>1.3.1-r-5</t>
  </si>
  <si>
    <t xml:space="preserve">Kelių su danga ilgis nuo visų kelių ilgio Kauno regione, proc. </t>
  </si>
  <si>
    <t xml:space="preserve">81,1
(2013 m.)
</t>
  </si>
  <si>
    <t>[0–81,1] (blogai)</t>
  </si>
  <si>
    <t>(81,1–82] (patenkinamai)</t>
  </si>
  <si>
    <t>Regioninės plėtros departamento prie Vidaus reikalų ministerijos Kauno apskrities skyrius</t>
  </si>
  <si>
    <t>B. Išleista nepakankamai išvalytų ūkio, buities ir gamybos nuotekų į paviršinius vandenis, tūkst. m³;</t>
  </si>
  <si>
    <t>A. Išleista užterštų (be valymo nuotekų) ūkio, buities ir gamybos nuotekų į paviršinius vandenis, tūkst. m³</t>
  </si>
  <si>
    <r>
      <t>Uždavinys.</t>
    </r>
    <r>
      <rPr>
        <sz val="11"/>
        <color rgb="FF000000"/>
        <rFont val="Times New Roman"/>
        <family val="1"/>
        <charset val="186"/>
      </rPr>
      <t xml:space="preserve"> Padidinti žemės ūkio produktų gamybos efektyvumą ir konkurencingumą, plėtoti ne žemės ūkio verslus ir žemės ūkiui alternatyvią ekonominę veiklą kaimo vietovėse.</t>
    </r>
    <r>
      <rPr>
        <b/>
        <sz val="11"/>
        <color rgb="FF000000"/>
        <rFont val="Times New Roman"/>
        <family val="1"/>
        <charset val="186"/>
      </rPr>
      <t xml:space="preserve">  </t>
    </r>
  </si>
  <si>
    <t xml:space="preserve">Regioninės plėtros departamento prie Vidaus reikalų ministerijos Kauno apskrities skyrius
</t>
  </si>
  <si>
    <t>1.1.1.1</t>
  </si>
  <si>
    <t>7.2.1</t>
  </si>
  <si>
    <t>7.2.2.</t>
  </si>
  <si>
    <t>7.2.3.</t>
  </si>
  <si>
    <t>P.N.074</t>
  </si>
  <si>
    <t>Atnaujinti aplinkosauginiai– rekreaciniai objektai, skaičius</t>
  </si>
  <si>
    <t>P.N.507</t>
  </si>
  <si>
    <t>Parengti darnaus judumo mieste planai, skaičius</t>
  </si>
  <si>
    <t>Įdiegtos intelektinės transporto sistemos, skaičius</t>
  </si>
  <si>
    <t>P.S.336</t>
  </si>
  <si>
    <t>Įgyvendintos visuomenės informavimo apie aplinką priemonės, skaičius</t>
  </si>
  <si>
    <t>Tikslinės populiacijos dalis, dalyvavusi vaikų krūminių dantų dengimo silantinėmis medžiagomis programoje, proc</t>
  </si>
  <si>
    <t>V.1</t>
  </si>
  <si>
    <t>V.2</t>
  </si>
  <si>
    <t>V.3</t>
  </si>
  <si>
    <t>V.4</t>
  </si>
  <si>
    <t>V.5</t>
  </si>
  <si>
    <t>V.6</t>
  </si>
  <si>
    <t>7.2.1.</t>
  </si>
  <si>
    <t>metai</t>
  </si>
  <si>
    <t>r1</t>
  </si>
  <si>
    <t>suma</t>
  </si>
  <si>
    <t>Stulpelis1</t>
  </si>
  <si>
    <t>Stulpelis2</t>
  </si>
  <si>
    <t>Eilučių žymos</t>
  </si>
  <si>
    <t>Bendroji suma</t>
  </si>
  <si>
    <t>Suma iš Stulpelis2</t>
  </si>
  <si>
    <t>[14–+∞) (labai gerai)</t>
  </si>
  <si>
    <t>(13–14) (gerai)</t>
  </si>
  <si>
    <t>(12–13] (patenkinamai)</t>
  </si>
  <si>
    <t>(-∞–12] (blogai)</t>
  </si>
  <si>
    <t>(12;+∞)</t>
  </si>
  <si>
    <t>(0;12)</t>
  </si>
  <si>
    <t>(10,83;11,5)</t>
  </si>
  <si>
    <t>(11,5;+∞)</t>
  </si>
  <si>
    <t>(0;11,5)</t>
  </si>
  <si>
    <t>(11,5; 12,5)</t>
  </si>
  <si>
    <t>(12,5+∞)</t>
  </si>
  <si>
    <t>(0; 12,5)</t>
  </si>
  <si>
    <t>(12,5;13)</t>
  </si>
  <si>
    <t>(13;+∞)</t>
  </si>
  <si>
    <t>(0; 13)</t>
  </si>
  <si>
    <t>(13;13,5)</t>
  </si>
  <si>
    <t>(13,5;+∞)</t>
  </si>
  <si>
    <t>(0; 13,5)</t>
  </si>
  <si>
    <t>(13,5;13,75)</t>
  </si>
  <si>
    <t>(13,75+∞)</t>
  </si>
  <si>
    <t>(0; 13,75)</t>
  </si>
  <si>
    <t>(13,75;14)</t>
  </si>
  <si>
    <t>(14;+∞)</t>
  </si>
  <si>
    <t>[87–100] (labai gerai)</t>
  </si>
  <si>
    <t>(82–87) (gerai)</t>
  </si>
  <si>
    <t>(87;100)</t>
  </si>
  <si>
    <t>(86;87)</t>
  </si>
  <si>
    <t>(0;86)</t>
  </si>
  <si>
    <t>(86;100)</t>
  </si>
  <si>
    <t>(85,5;86)</t>
  </si>
  <si>
    <t>(0;85,5)</t>
  </si>
  <si>
    <t>(85,5;100)</t>
  </si>
  <si>
    <t>(82;85,5)</t>
  </si>
  <si>
    <t>[800–+∞) (labai gerai)</t>
  </si>
  <si>
    <t>(680–800) (gerai)</t>
  </si>
  <si>
    <t>(457–680] (patenkinamai)</t>
  </si>
  <si>
    <t>(800;+∞)</t>
  </si>
  <si>
    <t>(700;800)</t>
  </si>
  <si>
    <t>(0;700)</t>
  </si>
  <si>
    <t>(680;700)</t>
  </si>
  <si>
    <t>(0;680)</t>
  </si>
  <si>
    <t>(680;+∞)</t>
  </si>
  <si>
    <t>(580;680)</t>
  </si>
  <si>
    <t>(5,3;0)</t>
  </si>
  <si>
    <t>(5,7;5,3)</t>
  </si>
  <si>
    <t>(5,3;5,2)</t>
  </si>
  <si>
    <t>(2258;0)</t>
  </si>
  <si>
    <t>(2402;2258)</t>
  </si>
  <si>
    <t>(2258;2134)</t>
  </si>
  <si>
    <t>(5,42;4,67)</t>
  </si>
  <si>
    <t>(4,57;4,5)</t>
  </si>
  <si>
    <t>(6,0;0)</t>
  </si>
  <si>
    <t>(5,73;0)</t>
  </si>
  <si>
    <t>(5,42;0)</t>
  </si>
  <si>
    <t>(4,67;0)</t>
  </si>
  <si>
    <t>(4,67;4,57)</t>
  </si>
  <si>
    <t>(4,57;0)</t>
  </si>
  <si>
    <t>(4,5;0)</t>
  </si>
  <si>
    <t>(45;+∞)</t>
  </si>
  <si>
    <t>(48;+∞)</t>
  </si>
  <si>
    <t>(32,6;45)</t>
  </si>
  <si>
    <t>(45;48)</t>
  </si>
  <si>
    <t>(0;48)</t>
  </si>
  <si>
    <t>(48;50)</t>
  </si>
  <si>
    <t>[47–100] (labai gerai)</t>
  </si>
  <si>
    <t>(25–47) (gerai)</t>
  </si>
  <si>
    <t>(12,5–25] (patenkinamai)</t>
  </si>
  <si>
    <t>(47;100)</t>
  </si>
  <si>
    <t>(45;100)</t>
  </si>
  <si>
    <t>(43;100)</t>
  </si>
  <si>
    <t>(42;43)</t>
  </si>
  <si>
    <t>(41;42)</t>
  </si>
  <si>
    <t>(41;100)</t>
  </si>
  <si>
    <t>(14;100)</t>
  </si>
  <si>
    <t>(12,8;100)</t>
  </si>
  <si>
    <t>(14;41)</t>
  </si>
  <si>
    <t>(29,18;+∞)</t>
  </si>
  <si>
    <t>(22,8;+∞)</t>
  </si>
  <si>
    <t>(24;+∞)</t>
  </si>
  <si>
    <t>(25,2;+∞)</t>
  </si>
  <si>
    <t>(30;+∞)</t>
  </si>
  <si>
    <t>(29,38;+∞)</t>
  </si>
  <si>
    <t>(71;+∞)</t>
  </si>
  <si>
    <t>(142;+∞)</t>
  </si>
  <si>
    <t>(213;+∞)</t>
  </si>
  <si>
    <t>(500;+∞)</t>
  </si>
  <si>
    <t>(490;500)</t>
  </si>
  <si>
    <t>(480;+∞)</t>
  </si>
  <si>
    <t>(470;480)</t>
  </si>
  <si>
    <t>(460;+∞)</t>
  </si>
  <si>
    <t>(213;460)</t>
  </si>
  <si>
    <t>[25–100] (labai gerai)</t>
  </si>
  <si>
    <t>(22–25) (gerai)</t>
  </si>
  <si>
    <t>(25;100)</t>
  </si>
  <si>
    <t>(22,1;100)</t>
  </si>
  <si>
    <t>(21,7;100)</t>
  </si>
  <si>
    <t>(21,3;100)</t>
  </si>
  <si>
    <t>(23,9;100)</t>
  </si>
  <si>
    <t>(24,75;100)</t>
  </si>
  <si>
    <t>[1800–+∞) (labai gerai)</t>
  </si>
  <si>
    <t>(1350–1800) (gerai)</t>
  </si>
  <si>
    <t>(1324;+∞)</t>
  </si>
  <si>
    <t>(1800;+∞)</t>
  </si>
  <si>
    <t>(1720;+∞)</t>
  </si>
  <si>
    <t>(1690;+∞)</t>
  </si>
  <si>
    <t>(1000;+∞)</t>
  </si>
  <si>
    <t>(1111;1211)</t>
  </si>
  <si>
    <t>(1211;+∞)</t>
  </si>
  <si>
    <t>[0,45–+∞) (labai gerai)</t>
  </si>
  <si>
    <t>(0,26–0,45) (gerai)</t>
  </si>
  <si>
    <t>(0,28;+∞)</t>
  </si>
  <si>
    <t>(0,26;+∞)</t>
  </si>
  <si>
    <t>(0,24;+∞)</t>
  </si>
  <si>
    <t>(0,45;+∞)</t>
  </si>
  <si>
    <t>(0,41;+∞)</t>
  </si>
  <si>
    <t>(0,4;0,41)</t>
  </si>
  <si>
    <t>(253;+∞)</t>
  </si>
  <si>
    <t>(290;+∞)</t>
  </si>
  <si>
    <t>(233;+∞)</t>
  </si>
  <si>
    <t>(287;290)</t>
  </si>
  <si>
    <t>(12;0)</t>
  </si>
  <si>
    <t>(13;0)</t>
  </si>
  <si>
    <t>(13,8;0)</t>
  </si>
  <si>
    <t>(14,2;0)</t>
  </si>
  <si>
    <t>(14,6;0)</t>
  </si>
  <si>
    <t>(14,8;0)</t>
  </si>
  <si>
    <t>(15;14,8)</t>
  </si>
  <si>
    <t>(100;15)</t>
  </si>
  <si>
    <t>[52–+∞) (labai gerai)</t>
  </si>
  <si>
    <t>(47,2–52) (gerai)</t>
  </si>
  <si>
    <t>(52;+∞)</t>
  </si>
  <si>
    <t>(51,5;52)</t>
  </si>
  <si>
    <t>(51;51,5)</t>
  </si>
  <si>
    <t>(51,5;+∞)</t>
  </si>
  <si>
    <t>(46,5;46,6)</t>
  </si>
  <si>
    <t>[260 000–+∞) (labai gerai)</t>
  </si>
  <si>
    <t>(200 000–260 000) (gerai)</t>
  </si>
  <si>
    <t>(260000;+∞)</t>
  </si>
  <si>
    <t>(250000;+∞)</t>
  </si>
  <si>
    <t>(240000;+∞)</t>
  </si>
  <si>
    <t>(230000;+∞)</t>
  </si>
  <si>
    <t>(200000;230000)</t>
  </si>
  <si>
    <t>(180704;181000)</t>
  </si>
  <si>
    <t>(181000;+∞)</t>
  </si>
  <si>
    <t>[2,8–0] (labai gerai)</t>
  </si>
  <si>
    <t>(4,5–2,8) (gerai)</t>
  </si>
  <si>
    <t>(2,8;0)</t>
  </si>
  <si>
    <t>(2,9;2,8)</t>
  </si>
  <si>
    <t>(+∞;5,6)</t>
  </si>
  <si>
    <t>(+∞;5,2)</t>
  </si>
  <si>
    <t>(+∞;4,8)</t>
  </si>
  <si>
    <t>(+∞;4,4)</t>
  </si>
  <si>
    <t>(+∞;3,5)</t>
  </si>
  <si>
    <t>(+∞;2,9)</t>
  </si>
  <si>
    <t>(2,9;0)</t>
  </si>
  <si>
    <t>(3,5;2,9)</t>
  </si>
  <si>
    <t>(3,5;0)</t>
  </si>
  <si>
    <t>(4,4;3,5)</t>
  </si>
  <si>
    <t>(4,4;0)</t>
  </si>
  <si>
    <t>(4,8;0)</t>
  </si>
  <si>
    <t>(16,3;+∞)</t>
  </si>
  <si>
    <t>(16,9;+∞)</t>
  </si>
  <si>
    <t>(20;+∞)</t>
  </si>
  <si>
    <t>(0;19,3)</t>
  </si>
  <si>
    <t>(19,3;+∞)</t>
  </si>
  <si>
    <t>(19;19,3)</t>
  </si>
  <si>
    <t>(0;19)</t>
  </si>
  <si>
    <t>(19;+∞)</t>
  </si>
  <si>
    <t>(18,5;19)</t>
  </si>
  <si>
    <t>(0;18,5)</t>
  </si>
  <si>
    <t>(18,5;+∞)</t>
  </si>
  <si>
    <t>(0;16,9)</t>
  </si>
  <si>
    <t>(0;16,3)</t>
  </si>
  <si>
    <t>[250–+∞) (labai gerai)</t>
  </si>
  <si>
    <t>(100–250) (gerai)</t>
  </si>
  <si>
    <t>(250;+∞)</t>
  </si>
  <si>
    <t>(245;250)</t>
  </si>
  <si>
    <t>(0;245)</t>
  </si>
  <si>
    <t>(245;+∞)</t>
  </si>
  <si>
    <t>(240;245)</t>
  </si>
  <si>
    <t>(0;240)</t>
  </si>
  <si>
    <t>(240;+∞)</t>
  </si>
  <si>
    <t>(230;240)</t>
  </si>
  <si>
    <t>(0;230)</t>
  </si>
  <si>
    <t>(230;+∞)</t>
  </si>
  <si>
    <t>(42;230)</t>
  </si>
  <si>
    <t>(0;42)</t>
  </si>
  <si>
    <t>(42;+∞)</t>
  </si>
  <si>
    <t>[350–+∞) (labai gerai)</t>
  </si>
  <si>
    <t>(250–350) (gerai)</t>
  </si>
  <si>
    <t>(350;+∞)</t>
  </si>
  <si>
    <t>(345;350)</t>
  </si>
  <si>
    <t>(0;345)</t>
  </si>
  <si>
    <t>(345;+∞)</t>
  </si>
  <si>
    <t>(340;345)</t>
  </si>
  <si>
    <t>(0;340)</t>
  </si>
  <si>
    <t>(340;+∞)</t>
  </si>
  <si>
    <t>(335;340)</t>
  </si>
  <si>
    <t>(0;335)</t>
  </si>
  <si>
    <t>(335;+∞)</t>
  </si>
  <si>
    <t>(90;335)</t>
  </si>
  <si>
    <t>(0;90)</t>
  </si>
  <si>
    <t>(90;+∞)</t>
  </si>
  <si>
    <t>[35–+∞) (labai gerai)</t>
  </si>
  <si>
    <t>(10–35) (gerai)</t>
  </si>
  <si>
    <t>(35;+∞)</t>
  </si>
  <si>
    <t>(34;35)</t>
  </si>
  <si>
    <t>(0;34)</t>
  </si>
  <si>
    <t>(34;+∞)</t>
  </si>
  <si>
    <t>(33;34)</t>
  </si>
  <si>
    <t>(0;33)</t>
  </si>
  <si>
    <t>(33;+∞)</t>
  </si>
  <si>
    <t>(12;33)</t>
  </si>
  <si>
    <t>(6;+∞)</t>
  </si>
  <si>
    <t>(3;+∞)</t>
  </si>
  <si>
    <t>(43;+∞)</t>
  </si>
  <si>
    <t>(0;41)</t>
  </si>
  <si>
    <t>(41;+∞)</t>
  </si>
  <si>
    <t>(18;41)</t>
  </si>
  <si>
    <t>(0;18)</t>
  </si>
  <si>
    <t>(18;+∞)</t>
  </si>
  <si>
    <t>[228–+∞) (labai gerai)</t>
  </si>
  <si>
    <t>(29–228) (gerai)</t>
  </si>
  <si>
    <t>(228;+∞)</t>
  </si>
  <si>
    <t>(220;228)</t>
  </si>
  <si>
    <t>(0;220)</t>
  </si>
  <si>
    <t>(220;+∞)</t>
  </si>
  <si>
    <t>(215;220)</t>
  </si>
  <si>
    <t>(0;215)</t>
  </si>
  <si>
    <t>(215;+∞)</t>
  </si>
  <si>
    <t>(210;215)</t>
  </si>
  <si>
    <t>(0;210)</t>
  </si>
  <si>
    <t>(210;+∞)</t>
  </si>
  <si>
    <t>(16;210)</t>
  </si>
  <si>
    <t>(0;16)</t>
  </si>
  <si>
    <t>(16;+∞)</t>
  </si>
  <si>
    <t>(8;+∞)</t>
  </si>
  <si>
    <t>(10;+∞)</t>
  </si>
  <si>
    <t>(9;10)</t>
  </si>
  <si>
    <t>(0;9)</t>
  </si>
  <si>
    <t>(9;+∞)</t>
  </si>
  <si>
    <t>(8;9)</t>
  </si>
  <si>
    <t>(3;8)</t>
  </si>
  <si>
    <t>(0;2)</t>
  </si>
  <si>
    <t>(2;+∞)</t>
  </si>
  <si>
    <t>(1;+∞)</t>
  </si>
  <si>
    <t>(98,5;100)</t>
  </si>
  <si>
    <t>(98,8;100)</t>
  </si>
  <si>
    <t>(98,1;100)</t>
  </si>
  <si>
    <t>(99,4;100)</t>
  </si>
  <si>
    <t>(100;6,3)</t>
  </si>
  <si>
    <t>(100;6,1)</t>
  </si>
  <si>
    <t>(100;5,9)</t>
  </si>
  <si>
    <t>(100;5,7)</t>
  </si>
  <si>
    <t>(100;5,3)</t>
  </si>
  <si>
    <t>(100;5,2)</t>
  </si>
  <si>
    <t>(46,34;+∞)</t>
  </si>
  <si>
    <t>(45,59; +∞)</t>
  </si>
  <si>
    <t>(44,84; +∞)</t>
  </si>
  <si>
    <t>(44,08; +∞)</t>
  </si>
  <si>
    <t>(42,57;+∞)</t>
  </si>
  <si>
    <t>(43,33;+∞)</t>
  </si>
  <si>
    <t>(0;42,57)</t>
  </si>
  <si>
    <t>(0;43,33)</t>
  </si>
  <si>
    <t>(0;44,08)</t>
  </si>
  <si>
    <t>(0;44,84)</t>
  </si>
  <si>
    <t>(0;45,49)</t>
  </si>
  <si>
    <t>(+∞;2804)</t>
  </si>
  <si>
    <t>(+∞;2670)</t>
  </si>
  <si>
    <t>(+∞;2536)</t>
  </si>
  <si>
    <t>(+∞;2402)</t>
  </si>
  <si>
    <t>(+∞;2258)</t>
  </si>
  <si>
    <t>(+∞;2134)</t>
  </si>
  <si>
    <t>(+∞;6,35)</t>
  </si>
  <si>
    <t>(+∞;6,0)</t>
  </si>
  <si>
    <t>(+∞;5,73)</t>
  </si>
  <si>
    <t>(+∞;5,42)</t>
  </si>
  <si>
    <t>(+∞;4,67)</t>
  </si>
  <si>
    <t>(+∞;4,57)</t>
  </si>
  <si>
    <t>(2561,40;+∞)</t>
  </si>
  <si>
    <t>(2617,01;+∞)</t>
  </si>
  <si>
    <t>(2672,61;+∞)</t>
  </si>
  <si>
    <t>(2728,22;+∞)</t>
  </si>
  <si>
    <t>(2783,83;+∞)</t>
  </si>
  <si>
    <t>(2896,2;+∞)</t>
  </si>
  <si>
    <t>(0;2783,83)</t>
  </si>
  <si>
    <t>(0;2728,22)</t>
  </si>
  <si>
    <t>(0;2672,61)</t>
  </si>
  <si>
    <t>(0;2617,01)</t>
  </si>
  <si>
    <t>(0;2561,40)</t>
  </si>
  <si>
    <t>(0;12,8)</t>
  </si>
  <si>
    <t>(0;14)</t>
  </si>
  <si>
    <t>(45;47)</t>
  </si>
  <si>
    <t>(0;43)</t>
  </si>
  <si>
    <t>(43;45)</t>
  </si>
  <si>
    <t>(41;43)</t>
  </si>
  <si>
    <t>(2461,77;+∞)</t>
  </si>
  <si>
    <t>(2131,31;+∞)</t>
  </si>
  <si>
    <t>(1965,65;+∞)</t>
  </si>
  <si>
    <t>(1799,99;+∞)</t>
  </si>
  <si>
    <t>(1634,33;+∞)</t>
  </si>
  <si>
    <t>(1468,66;+∞)</t>
  </si>
  <si>
    <t>(0;1468,66)</t>
  </si>
  <si>
    <t>(0;1634,33)</t>
  </si>
  <si>
    <t>(0;1799,99)</t>
  </si>
  <si>
    <t>(0;1965,65)</t>
  </si>
  <si>
    <t>(0;2131,31)</t>
  </si>
  <si>
    <t>(2131,31;2461,77)</t>
  </si>
  <si>
    <t>(0;22,8)</t>
  </si>
  <si>
    <t>(0;24)</t>
  </si>
  <si>
    <t>(0;25,2)</t>
  </si>
  <si>
    <t>(0;29,18)</t>
  </si>
  <si>
    <t>(29,18;29,38)</t>
  </si>
  <si>
    <t>(0;29,38)</t>
  </si>
  <si>
    <t>(29,38;30)</t>
  </si>
  <si>
    <t>(0;142)</t>
  </si>
  <si>
    <t>(0;213)</t>
  </si>
  <si>
    <t>(0;470)</t>
  </si>
  <si>
    <t>(0;490)</t>
  </si>
  <si>
    <t>(57;0)</t>
  </si>
  <si>
    <t>(57,7;0)</t>
  </si>
  <si>
    <t>(58,2;0)</t>
  </si>
  <si>
    <t>(58,7;0)</t>
  </si>
  <si>
    <t>(59,2;0)</t>
  </si>
  <si>
    <t>(59,7;0)</t>
  </si>
  <si>
    <t>(+∞;59,7)</t>
  </si>
  <si>
    <t>(+∞;59,2)</t>
  </si>
  <si>
    <t>(+∞;58,7)</t>
  </si>
  <si>
    <t>(+∞;58,2)</t>
  </si>
  <si>
    <t>(+∞;57,7)</t>
  </si>
  <si>
    <t>(57,7;57)</t>
  </si>
  <si>
    <t>(0;21,3)</t>
  </si>
  <si>
    <t>(0;21,7)</t>
  </si>
  <si>
    <t>(0;22,1)</t>
  </si>
  <si>
    <t>(22,1;23,9)</t>
  </si>
  <si>
    <t>(+∞;23,9)</t>
  </si>
  <si>
    <t>(23,9;24,75)</t>
  </si>
  <si>
    <t>(0;24,75)</t>
  </si>
  <si>
    <t>(24,75;25)</t>
  </si>
  <si>
    <t>(0,85;0)</t>
  </si>
  <si>
    <t>(0,92;0)</t>
  </si>
  <si>
    <t>(0,96;0)</t>
  </si>
  <si>
    <t>(1;0)</t>
  </si>
  <si>
    <t>(1,04;0)</t>
  </si>
  <si>
    <t>(1,08;0)</t>
  </si>
  <si>
    <t>(+∞;0,92)</t>
  </si>
  <si>
    <t>(+∞;0,96)</t>
  </si>
  <si>
    <t>(+∞;1)</t>
  </si>
  <si>
    <t>(+∞;1,04)</t>
  </si>
  <si>
    <t>(+∞;1,08)</t>
  </si>
  <si>
    <t>(+∞;1,3)</t>
  </si>
  <si>
    <t>(+∞;1,25)</t>
  </si>
  <si>
    <t>(+∞;1,2)</t>
  </si>
  <si>
    <t>(+∞;1,15)</t>
  </si>
  <si>
    <t>(+∞;1,1)</t>
  </si>
  <si>
    <t>(1,1;1)</t>
  </si>
  <si>
    <t>(1,1;0)</t>
  </si>
  <si>
    <t>(1,15;0)</t>
  </si>
  <si>
    <t>(1,2;0)</t>
  </si>
  <si>
    <t>(1,25;0)</t>
  </si>
  <si>
    <t>(1,3;0)</t>
  </si>
  <si>
    <t>(0,056;0)</t>
  </si>
  <si>
    <t>(0,058;0)</t>
  </si>
  <si>
    <t>(0,059;0)</t>
  </si>
  <si>
    <t>(0,061;0)</t>
  </si>
  <si>
    <t>(0,063;0)</t>
  </si>
  <si>
    <t>(0,065;0)</t>
  </si>
  <si>
    <t>(0,058;0,056)</t>
  </si>
  <si>
    <t>(+∞;0,058)</t>
  </si>
  <si>
    <t>(+∞;0,059)</t>
  </si>
  <si>
    <t>(+∞;0,061)</t>
  </si>
  <si>
    <t>(+∞;0,063)</t>
  </si>
  <si>
    <t>(+∞;0,065)</t>
  </si>
  <si>
    <t>(0;1211)</t>
  </si>
  <si>
    <t>(1211;1282)</t>
  </si>
  <si>
    <t>(1282;+∞)</t>
  </si>
  <si>
    <t>(0;1282)</t>
  </si>
  <si>
    <t>(1282;1324)</t>
  </si>
  <si>
    <t>(0;1324)</t>
  </si>
  <si>
    <t>(1324;1690)</t>
  </si>
  <si>
    <t>(0;1690)</t>
  </si>
  <si>
    <t>(1690;1720)</t>
  </si>
  <si>
    <t>(0;1720)</t>
  </si>
  <si>
    <t>(1720;1800)</t>
  </si>
  <si>
    <t>(0;0,24)</t>
  </si>
  <si>
    <t>(0,24;0,26)</t>
  </si>
  <si>
    <t>(0;0,26)</t>
  </si>
  <si>
    <t>(0,26;0,28)</t>
  </si>
  <si>
    <t>(0;0,28)</t>
  </si>
  <si>
    <t>(0;0,4)</t>
  </si>
  <si>
    <t>(0,28;0,4)</t>
  </si>
  <si>
    <t>(0,4;+∞)</t>
  </si>
  <si>
    <t>(0;0,41)</t>
  </si>
  <si>
    <t>(0,41;0,45)</t>
  </si>
  <si>
    <t>(0;243)</t>
  </si>
  <si>
    <t>(0;277)</t>
  </si>
  <si>
    <t>(0;282)</t>
  </si>
  <si>
    <t>(0;287)</t>
  </si>
  <si>
    <t>(287;+∞)</t>
  </si>
  <si>
    <t>(282;287)</t>
  </si>
  <si>
    <t>(277;282)</t>
  </si>
  <si>
    <t>(282;+∞)</t>
  </si>
  <si>
    <t>(277;+∞)</t>
  </si>
  <si>
    <t>(253;277)</t>
  </si>
  <si>
    <t>(0;253)</t>
  </si>
  <si>
    <t>(200;0)</t>
  </si>
  <si>
    <t>(250;200)</t>
  </si>
  <si>
    <t>(+∞;250)</t>
  </si>
  <si>
    <t>(250;0)</t>
  </si>
  <si>
    <t>(+∞;276)</t>
  </si>
  <si>
    <t>(276;0)</t>
  </si>
  <si>
    <t>(+∞;302)</t>
  </si>
  <si>
    <t>(302;0)</t>
  </si>
  <si>
    <t>(+∞;328)</t>
  </si>
  <si>
    <t>(328;0)</t>
  </si>
  <si>
    <t>(+∞;354)</t>
  </si>
  <si>
    <t>(354;0)</t>
  </si>
  <si>
    <t>(7000;+∞)</t>
  </si>
  <si>
    <t>(5000;7000)</t>
  </si>
  <si>
    <t>(0;5000)</t>
  </si>
  <si>
    <t>(5000;+∞)</t>
  </si>
  <si>
    <t>(0;4000)</t>
  </si>
  <si>
    <t>(4000;+∞)</t>
  </si>
  <si>
    <t>(0;3000)</t>
  </si>
  <si>
    <t>(3000;+∞)</t>
  </si>
  <si>
    <t>(0;2000)</t>
  </si>
  <si>
    <t>(2000;+∞)</t>
  </si>
  <si>
    <t>(14,8;14,6)</t>
  </si>
  <si>
    <t>(100;14,8)</t>
  </si>
  <si>
    <t>(100;14,6)</t>
  </si>
  <si>
    <t>(100;14,2)</t>
  </si>
  <si>
    <t>(100;13,8)</t>
  </si>
  <si>
    <t>(13,8;13)</t>
  </si>
  <si>
    <t>(100;13)</t>
  </si>
  <si>
    <t>(13;12)</t>
  </si>
  <si>
    <t>(7;+∞)</t>
  </si>
  <si>
    <t>(6,7;+∞)</t>
  </si>
  <si>
    <t>(6,5;+∞)</t>
  </si>
  <si>
    <t>(6,3;+∞)</t>
  </si>
  <si>
    <t>(6,1;+∞)</t>
  </si>
  <si>
    <t>(5,9;+∞)</t>
  </si>
  <si>
    <t>(0;5,9)</t>
  </si>
  <si>
    <t>(0;6,1)</t>
  </si>
  <si>
    <t>(0;6,3)</t>
  </si>
  <si>
    <t>(0;6,5)</t>
  </si>
  <si>
    <t>(0;6,7)</t>
  </si>
  <si>
    <t>(260;+∞)</t>
  </si>
  <si>
    <t>(185;+∞)</t>
  </si>
  <si>
    <t>(148;+∞)</t>
  </si>
  <si>
    <t>(111;+∞)</t>
  </si>
  <si>
    <t>(74;+∞)</t>
  </si>
  <si>
    <t>(37;+∞)</t>
  </si>
  <si>
    <t>(0;74)</t>
  </si>
  <si>
    <t>(0;111)</t>
  </si>
  <si>
    <t>(0;148)</t>
  </si>
  <si>
    <t>(0;185)</t>
  </si>
  <si>
    <t>(0;46,6)</t>
  </si>
  <si>
    <t>(0;46,9)</t>
  </si>
  <si>
    <t>(0;50)</t>
  </si>
  <si>
    <t>(0;51)</t>
  </si>
  <si>
    <t>(0;51,5)</t>
  </si>
  <si>
    <r>
      <t>(51;</t>
    </r>
    <r>
      <rPr>
        <b/>
        <sz val="11"/>
        <color rgb="FF000000"/>
        <rFont val="Times New Roman"/>
        <family val="1"/>
        <charset val="186"/>
      </rPr>
      <t>+∞</t>
    </r>
    <r>
      <rPr>
        <sz val="11"/>
        <color rgb="FF000000"/>
        <rFont val="Times New Roman"/>
        <family val="1"/>
        <charset val="186"/>
      </rPr>
      <t>)</t>
    </r>
  </si>
  <si>
    <t>(50;51)</t>
  </si>
  <si>
    <t>(46,9;50)</t>
  </si>
  <si>
    <t>(46,9+∞)</t>
  </si>
  <si>
    <t>(46,6;46,9)</t>
  </si>
  <si>
    <t>(46,6;+∞)</t>
  </si>
  <si>
    <t>(750;+∞)</t>
  </si>
  <si>
    <t>(724;+∞)</t>
  </si>
  <si>
    <t>(711;+∞)</t>
  </si>
  <si>
    <t>(698;+∞)</t>
  </si>
  <si>
    <t>(685;+∞)</t>
  </si>
  <si>
    <t>(672;+∞)</t>
  </si>
  <si>
    <t>(0;672)</t>
  </si>
  <si>
    <t>(0;685)</t>
  </si>
  <si>
    <t>(0;698)</t>
  </si>
  <si>
    <t>(0;711)</t>
  </si>
  <si>
    <t>(0;724)</t>
  </si>
  <si>
    <t>(0;181000)</t>
  </si>
  <si>
    <t>(0;200000)</t>
  </si>
  <si>
    <t>(181000;200000)</t>
  </si>
  <si>
    <t>(200000;+∞)</t>
  </si>
  <si>
    <t>(0;230000)</t>
  </si>
  <si>
    <t>(230000;240000)</t>
  </si>
  <si>
    <t>(0;240000)</t>
  </si>
  <si>
    <t>(240000;250000)</t>
  </si>
  <si>
    <t>(0;250000)</t>
  </si>
  <si>
    <t>(250000;260000)</t>
  </si>
  <si>
    <t>(15;+∞)</t>
  </si>
  <si>
    <t>(28;+∞)</t>
  </si>
  <si>
    <t>(0;28)</t>
  </si>
  <si>
    <t>(0;35)</t>
  </si>
  <si>
    <t>(5;+∞)</t>
  </si>
  <si>
    <t>(4;+∞)</t>
  </si>
  <si>
    <t>(0;4)</t>
  </si>
  <si>
    <t>(0;5)</t>
  </si>
  <si>
    <t>(7;10)</t>
  </si>
  <si>
    <t>(245;200)</t>
  </si>
  <si>
    <t>(245;0)</t>
  </si>
  <si>
    <t>(267;0)</t>
  </si>
  <si>
    <t>(289;0)</t>
  </si>
  <si>
    <t>(311;0)</t>
  </si>
  <si>
    <t>(333;0)</t>
  </si>
  <si>
    <t>(+∞;333)</t>
  </si>
  <si>
    <t>(+∞;311)</t>
  </si>
  <si>
    <t>(+∞;289)</t>
  </si>
  <si>
    <t>(+∞;267)</t>
  </si>
  <si>
    <t>(+∞;245)</t>
  </si>
  <si>
    <t>(+∞;0,05)</t>
  </si>
  <si>
    <t>(+∞;0,04)</t>
  </si>
  <si>
    <t>(+∞;0,03)</t>
  </si>
  <si>
    <t>(0,01;0)</t>
  </si>
  <si>
    <t>(0,03;0)</t>
  </si>
  <si>
    <t>(0,04;0)</t>
  </si>
  <si>
    <t>(0,05;0)</t>
  </si>
  <si>
    <t>(0,03;0,01)</t>
  </si>
  <si>
    <t>(2783,83;2896,2)</t>
  </si>
  <si>
    <t>(0,92;0,85)</t>
  </si>
  <si>
    <t>(6,7;7)</t>
  </si>
  <si>
    <t>(185;260)</t>
  </si>
  <si>
    <t>(724;750)</t>
  </si>
  <si>
    <t>(15;20)</t>
  </si>
  <si>
    <t>(35;50)</t>
  </si>
  <si>
    <t>Aktuali redakcija 2018-06-12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</si>
</sst>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37"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9"/>
      <color theme="1"/>
      <name val="Times New Roman"/>
      <family val="1"/>
      <charset val="186"/>
    </font>
    <font>
      <b/>
      <sz val="10"/>
      <color theme="1"/>
      <name val="Times New Roman"/>
      <family val="1"/>
      <charset val="186"/>
    </font>
    <font>
      <b/>
      <sz val="8"/>
      <color theme="1"/>
      <name val="Times New Roman"/>
      <family val="1"/>
      <charset val="186"/>
    </font>
    <font>
      <sz val="9"/>
      <color theme="1"/>
      <name val="Times New Roman"/>
      <family val="1"/>
      <charset val="186"/>
    </font>
    <font>
      <sz val="11"/>
      <color theme="1"/>
      <name val="Times New Roman"/>
      <family val="1"/>
      <charset val="186"/>
    </font>
    <font>
      <i/>
      <sz val="12"/>
      <color theme="1"/>
      <name val="Times New Roman"/>
      <family val="1"/>
      <charset val="186"/>
    </font>
    <font>
      <sz val="12"/>
      <color theme="1"/>
      <name val="Calibri"/>
      <family val="2"/>
      <charset val="186"/>
      <scheme val="minor"/>
    </font>
    <font>
      <sz val="11"/>
      <color theme="1"/>
      <name val="Calibri"/>
      <family val="2"/>
      <charset val="186"/>
      <scheme val="minor"/>
    </font>
    <font>
      <b/>
      <u/>
      <sz val="12"/>
      <color theme="1"/>
      <name val="Times New Roman"/>
      <family val="1"/>
      <charset val="186"/>
    </font>
    <font>
      <b/>
      <sz val="11"/>
      <color theme="1"/>
      <name val="Times New Roman"/>
      <family val="1"/>
      <charset val="186"/>
    </font>
    <font>
      <sz val="11"/>
      <color rgb="FF000000"/>
      <name val="Times New Roman"/>
      <family val="1"/>
      <charset val="186"/>
    </font>
    <font>
      <sz val="10"/>
      <color indexed="63"/>
      <name val="Times New Roman"/>
      <family val="1"/>
    </font>
    <font>
      <sz val="10"/>
      <color indexed="8"/>
      <name val="Times New Roman"/>
      <family val="1"/>
      <charset val="186"/>
    </font>
    <font>
      <vertAlign val="superscript"/>
      <sz val="10"/>
      <color indexed="63"/>
      <name val="Times New Roman"/>
      <family val="1"/>
    </font>
    <font>
      <sz val="10"/>
      <color indexed="63"/>
      <name val="Times New Roman"/>
      <family val="1"/>
      <charset val="186"/>
    </font>
    <font>
      <sz val="10"/>
      <color indexed="8"/>
      <name val="Times New Roman"/>
      <family val="1"/>
    </font>
    <font>
      <sz val="11"/>
      <color theme="1"/>
      <name val="Calibri"/>
      <family val="2"/>
      <scheme val="minor"/>
    </font>
    <font>
      <sz val="11"/>
      <name val="Calibri"/>
      <family val="2"/>
    </font>
    <font>
      <b/>
      <sz val="9"/>
      <color indexed="10"/>
      <name val="Times New Roman"/>
      <family val="1"/>
      <charset val="186"/>
    </font>
    <font>
      <sz val="9"/>
      <name val="Times New Roman"/>
      <family val="1"/>
      <charset val="186"/>
    </font>
    <font>
      <sz val="11"/>
      <color indexed="8"/>
      <name val="Calibri"/>
      <family val="2"/>
    </font>
    <font>
      <b/>
      <sz val="9"/>
      <name val="Times New Roman"/>
      <family val="1"/>
      <charset val="186"/>
    </font>
    <font>
      <sz val="9"/>
      <color indexed="8"/>
      <name val="Times New Roman"/>
      <family val="1"/>
      <charset val="186"/>
    </font>
    <font>
      <sz val="10"/>
      <name val="Arial"/>
      <family val="2"/>
    </font>
    <font>
      <sz val="9"/>
      <name val="Calibri"/>
      <family val="2"/>
    </font>
    <font>
      <strike/>
      <sz val="9"/>
      <name val="Times New Roman"/>
      <family val="1"/>
      <charset val="186"/>
    </font>
    <font>
      <b/>
      <strike/>
      <sz val="9"/>
      <color indexed="10"/>
      <name val="Times New Roman"/>
      <family val="1"/>
      <charset val="186"/>
    </font>
    <font>
      <b/>
      <sz val="11"/>
      <color indexed="8"/>
      <name val="Calibri"/>
      <family val="2"/>
    </font>
    <font>
      <b/>
      <sz val="11"/>
      <color rgb="FF000000"/>
      <name val="Times New Roman"/>
      <family val="1"/>
      <charset val="186"/>
    </font>
    <font>
      <b/>
      <i/>
      <sz val="11"/>
      <color theme="1"/>
      <name val="Times New Roman"/>
      <family val="1"/>
      <charset val="186"/>
    </font>
    <font>
      <i/>
      <sz val="11"/>
      <color theme="1"/>
      <name val="Times New Roman"/>
      <family val="1"/>
      <charset val="186"/>
    </font>
    <font>
      <b/>
      <sz val="11"/>
      <color theme="0"/>
      <name val="Calibri"/>
      <family val="2"/>
      <charset val="186"/>
      <scheme val="minor"/>
    </font>
    <font>
      <sz val="9"/>
      <color indexed="8"/>
      <name val="Times New Roman"/>
      <family val="1"/>
    </font>
    <font>
      <b/>
      <strike/>
      <sz val="9"/>
      <color rgb="FFFF0000"/>
      <name val="Times New Roman"/>
      <family val="1"/>
      <charset val="186"/>
    </font>
  </fonts>
  <fills count="7">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9">
    <xf numFmtId="0" fontId="0" fillId="0" borderId="0"/>
    <xf numFmtId="0" fontId="10" fillId="0" borderId="0"/>
    <xf numFmtId="0" fontId="19" fillId="0" borderId="0"/>
    <xf numFmtId="0" fontId="10" fillId="0" borderId="0"/>
    <xf numFmtId="43" fontId="23" fillId="0" borderId="0" applyFont="0" applyFill="0" applyBorder="0" applyAlignment="0" applyProtection="0"/>
    <xf numFmtId="0" fontId="26" fillId="0" borderId="0"/>
    <xf numFmtId="0" fontId="10" fillId="0" borderId="0"/>
    <xf numFmtId="0" fontId="10" fillId="0" borderId="0"/>
    <xf numFmtId="0" fontId="30" fillId="0" borderId="6" applyNumberFormat="0" applyFill="0" applyAlignment="0" applyProtection="0"/>
  </cellStyleXfs>
  <cellXfs count="303">
    <xf numFmtId="0" fontId="0" fillId="0" borderId="0" xfId="0"/>
    <xf numFmtId="0" fontId="2" fillId="0" borderId="0" xfId="0" applyFont="1" applyAlignment="1">
      <alignment vertical="center"/>
    </xf>
    <xf numFmtId="0" fontId="1" fillId="0" borderId="0" xfId="0" applyFont="1" applyAlignment="1">
      <alignment vertical="center"/>
    </xf>
    <xf numFmtId="0" fontId="2" fillId="0" borderId="0" xfId="0" applyFont="1" applyBorder="1" applyAlignment="1">
      <alignment vertical="center" wrapText="1"/>
    </xf>
    <xf numFmtId="0" fontId="0" fillId="0" borderId="0" xfId="0"/>
    <xf numFmtId="0" fontId="2" fillId="0" borderId="0" xfId="0" applyFont="1"/>
    <xf numFmtId="0" fontId="0" fillId="0" borderId="0" xfId="0" applyBorder="1"/>
    <xf numFmtId="0" fontId="1" fillId="0" borderId="0" xfId="0" applyFont="1" applyBorder="1"/>
    <xf numFmtId="0" fontId="4" fillId="0" borderId="0" xfId="0" applyFont="1" applyBorder="1" applyAlignment="1">
      <alignment vertical="center"/>
    </xf>
    <xf numFmtId="0" fontId="1" fillId="0" borderId="0" xfId="0" applyFont="1" applyBorder="1" applyAlignment="1">
      <alignment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vertical="top" wrapText="1"/>
    </xf>
    <xf numFmtId="0" fontId="6" fillId="0" borderId="0" xfId="0" applyFont="1" applyBorder="1" applyAlignment="1">
      <alignment vertical="center" wrapText="1"/>
    </xf>
    <xf numFmtId="0" fontId="7" fillId="0" borderId="0" xfId="0" applyFont="1" applyBorder="1" applyAlignment="1">
      <alignment vertical="center"/>
    </xf>
    <xf numFmtId="0" fontId="9" fillId="0" borderId="0" xfId="0" applyFont="1"/>
    <xf numFmtId="0" fontId="2" fillId="0" borderId="0" xfId="0" applyFont="1" applyBorder="1" applyAlignment="1">
      <alignment vertical="top" wrapText="1"/>
    </xf>
    <xf numFmtId="0" fontId="2" fillId="0" borderId="0" xfId="0" applyFont="1" applyBorder="1" applyAlignment="1"/>
    <xf numFmtId="0" fontId="4" fillId="0" borderId="1" xfId="0" applyFont="1" applyBorder="1" applyAlignment="1">
      <alignment horizontal="center" vertical="center"/>
    </xf>
    <xf numFmtId="0" fontId="1" fillId="0" borderId="0" xfId="0" applyFont="1" applyBorder="1" applyAlignment="1">
      <alignment vertical="top"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11" fillId="0" borderId="0" xfId="0" applyFont="1" applyAlignment="1">
      <alignment horizontal="center" vertical="center"/>
    </xf>
    <xf numFmtId="0" fontId="0" fillId="0" borderId="0" xfId="0" applyFont="1" applyBorder="1"/>
    <xf numFmtId="0" fontId="7" fillId="0" borderId="1" xfId="0" applyFont="1" applyBorder="1" applyAlignment="1">
      <alignment vertical="center" wrapText="1"/>
    </xf>
    <xf numFmtId="0" fontId="13" fillId="0" borderId="1" xfId="0" applyFont="1" applyBorder="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7" fillId="0" borderId="0" xfId="0" applyFont="1" applyBorder="1" applyAlignment="1">
      <alignment vertical="top" wrapText="1"/>
    </xf>
    <xf numFmtId="0" fontId="12" fillId="0" borderId="1" xfId="0" applyFont="1" applyBorder="1" applyAlignment="1">
      <alignment vertical="center" wrapText="1"/>
    </xf>
    <xf numFmtId="0" fontId="7"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2" fillId="0" borderId="2" xfId="0" applyFont="1" applyBorder="1" applyAlignment="1">
      <alignment horizontal="center" vertical="center" wrapText="1"/>
    </xf>
    <xf numFmtId="0" fontId="7" fillId="0" borderId="1" xfId="0" applyFont="1" applyBorder="1" applyAlignment="1">
      <alignment horizontal="left" vertical="center"/>
    </xf>
    <xf numFmtId="0" fontId="14" fillId="0" borderId="1" xfId="1" applyFont="1" applyBorder="1" applyAlignment="1">
      <alignment vertical="top" wrapText="1"/>
    </xf>
    <xf numFmtId="0" fontId="14" fillId="0" borderId="1" xfId="1" applyFont="1" applyFill="1" applyBorder="1" applyAlignment="1">
      <alignment vertical="top" wrapText="1"/>
    </xf>
    <xf numFmtId="0" fontId="15" fillId="0" borderId="1" xfId="1" applyFont="1" applyBorder="1" applyAlignment="1">
      <alignment vertical="top"/>
    </xf>
    <xf numFmtId="0" fontId="15" fillId="0" borderId="1" xfId="1" applyFont="1" applyBorder="1" applyAlignment="1">
      <alignment vertical="top" wrapText="1"/>
    </xf>
    <xf numFmtId="0" fontId="15" fillId="0" borderId="1" xfId="0" applyFont="1" applyFill="1" applyBorder="1" applyAlignment="1">
      <alignment wrapText="1"/>
    </xf>
    <xf numFmtId="0" fontId="17" fillId="0" borderId="1" xfId="1" applyFont="1" applyFill="1" applyBorder="1" applyAlignment="1">
      <alignment vertical="top" wrapText="1"/>
    </xf>
    <xf numFmtId="0" fontId="18" fillId="0" borderId="1" xfId="1" applyFont="1" applyBorder="1" applyAlignment="1">
      <alignment horizontal="left" wrapText="1"/>
    </xf>
    <xf numFmtId="0" fontId="22" fillId="0" borderId="1" xfId="1" applyFont="1" applyFill="1" applyBorder="1" applyAlignment="1">
      <alignment horizontal="left" vertical="top" wrapText="1"/>
    </xf>
    <xf numFmtId="0" fontId="22" fillId="0" borderId="1" xfId="3" applyFont="1" applyFill="1" applyBorder="1" applyAlignment="1">
      <alignment horizontal="right" vertical="top" wrapText="1"/>
    </xf>
    <xf numFmtId="0" fontId="22" fillId="0" borderId="1" xfId="3" applyFont="1" applyBorder="1" applyAlignment="1">
      <alignment horizontal="right" vertical="top" wrapText="1"/>
    </xf>
    <xf numFmtId="0" fontId="22" fillId="0" borderId="1" xfId="1" applyFont="1" applyFill="1" applyBorder="1" applyAlignment="1">
      <alignment horizontal="center" vertical="top" wrapText="1"/>
    </xf>
    <xf numFmtId="0" fontId="22" fillId="0" borderId="1" xfId="1" applyNumberFormat="1" applyFont="1" applyFill="1" applyBorder="1" applyAlignment="1">
      <alignment horizontal="left" vertical="top" wrapText="1"/>
    </xf>
    <xf numFmtId="0" fontId="22" fillId="0" borderId="1" xfId="3" applyNumberFormat="1" applyFont="1" applyFill="1" applyBorder="1" applyAlignment="1">
      <alignment horizontal="right" vertical="top"/>
    </xf>
    <xf numFmtId="0" fontId="22" fillId="0" borderId="1" xfId="3" applyNumberFormat="1" applyFont="1" applyBorder="1" applyAlignment="1">
      <alignment horizontal="right" vertical="top" wrapText="1"/>
    </xf>
    <xf numFmtId="0" fontId="25" fillId="0" borderId="1" xfId="1" applyFont="1" applyFill="1" applyBorder="1" applyAlignment="1">
      <alignment horizontal="left" vertical="top" wrapText="1"/>
    </xf>
    <xf numFmtId="0" fontId="22" fillId="0" borderId="1" xfId="3" applyFont="1" applyBorder="1" applyAlignment="1">
      <alignment horizontal="right" vertical="top"/>
    </xf>
    <xf numFmtId="0" fontId="25" fillId="0" borderId="1" xfId="3" applyFont="1" applyBorder="1" applyAlignment="1">
      <alignment horizontal="right" vertical="top"/>
    </xf>
    <xf numFmtId="0" fontId="22" fillId="3" borderId="1" xfId="3" applyFont="1" applyFill="1" applyBorder="1" applyAlignment="1">
      <alignment horizontal="right" vertical="top" wrapText="1"/>
    </xf>
    <xf numFmtId="0" fontId="22" fillId="3" borderId="1" xfId="1" applyFont="1" applyFill="1" applyBorder="1" applyAlignment="1">
      <alignment horizontal="left" vertical="top" wrapText="1"/>
    </xf>
    <xf numFmtId="0" fontId="22" fillId="0" borderId="1" xfId="6" applyFont="1" applyFill="1" applyBorder="1" applyAlignment="1">
      <alignment horizontal="right" vertical="top" wrapText="1"/>
    </xf>
    <xf numFmtId="0" fontId="0" fillId="0" borderId="0" xfId="0" applyFont="1"/>
    <xf numFmtId="0" fontId="12" fillId="0" borderId="1" xfId="0" applyFont="1" applyBorder="1" applyAlignment="1">
      <alignment horizontal="left" vertical="center"/>
    </xf>
    <xf numFmtId="0" fontId="7" fillId="2" borderId="1" xfId="0" applyFont="1" applyFill="1" applyBorder="1" applyAlignment="1">
      <alignment horizontal="left" vertical="center" wrapText="1"/>
    </xf>
    <xf numFmtId="0" fontId="31" fillId="0" borderId="1" xfId="0" applyFont="1" applyBorder="1" applyAlignment="1">
      <alignment horizontal="left" vertical="center"/>
    </xf>
    <xf numFmtId="0" fontId="7" fillId="0" borderId="0" xfId="0" applyFont="1" applyAlignment="1">
      <alignment vertical="center"/>
    </xf>
    <xf numFmtId="0" fontId="12"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2" fillId="0" borderId="0"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1" fontId="7" fillId="0" borderId="1" xfId="0" applyNumberFormat="1" applyFont="1" applyBorder="1" applyAlignment="1">
      <alignment horizontal="left" vertical="center" wrapText="1"/>
    </xf>
    <xf numFmtId="3" fontId="7" fillId="0" borderId="1" xfId="0" applyNumberFormat="1" applyFont="1" applyBorder="1" applyAlignment="1">
      <alignment horizontal="left" vertical="center" wrapText="1"/>
    </xf>
    <xf numFmtId="3" fontId="7" fillId="0" borderId="1" xfId="0" applyNumberFormat="1" applyFont="1" applyBorder="1" applyAlignment="1">
      <alignment horizontal="left" vertical="center"/>
    </xf>
    <xf numFmtId="49" fontId="7" fillId="0" borderId="1" xfId="0" applyNumberFormat="1" applyFont="1" applyBorder="1" applyAlignment="1">
      <alignment horizontal="left" vertical="center"/>
    </xf>
    <xf numFmtId="4" fontId="7" fillId="0" borderId="1" xfId="0" applyNumberFormat="1" applyFont="1" applyBorder="1" applyAlignment="1">
      <alignment horizontal="left" vertical="center"/>
    </xf>
    <xf numFmtId="0" fontId="12" fillId="0" borderId="0" xfId="0" applyFont="1" applyBorder="1" applyAlignment="1">
      <alignment vertical="top" wrapText="1"/>
    </xf>
    <xf numFmtId="0" fontId="32" fillId="0" borderId="0" xfId="0" applyFont="1" applyAlignment="1">
      <alignment vertical="center"/>
    </xf>
    <xf numFmtId="0" fontId="12" fillId="0" borderId="2" xfId="0" applyFont="1" applyBorder="1" applyAlignment="1">
      <alignment vertical="center" wrapText="1"/>
    </xf>
    <xf numFmtId="0" fontId="0" fillId="0" borderId="1" xfId="0" applyFont="1" applyBorder="1" applyAlignment="1">
      <alignment horizontal="left" vertical="center" wrapText="1"/>
    </xf>
    <xf numFmtId="0" fontId="12" fillId="0" borderId="0" xfId="0" applyFont="1" applyBorder="1" applyAlignment="1">
      <alignment horizontal="center" vertical="center"/>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xf numFmtId="0" fontId="7" fillId="0" borderId="0" xfId="0" applyFont="1" applyBorder="1" applyAlignment="1">
      <alignment wrapText="1"/>
    </xf>
    <xf numFmtId="0" fontId="7" fillId="0" borderId="1" xfId="0" applyFont="1" applyBorder="1" applyAlignment="1">
      <alignment horizontal="left" vertical="center" wrapText="1"/>
    </xf>
    <xf numFmtId="3"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8" fillId="0" borderId="0" xfId="0" applyFont="1"/>
    <xf numFmtId="0" fontId="35" fillId="0" borderId="1" xfId="1" applyFont="1" applyBorder="1" applyAlignment="1">
      <alignment horizontal="left" wrapText="1"/>
    </xf>
    <xf numFmtId="0" fontId="35" fillId="0" borderId="1" xfId="1" applyFont="1" applyBorder="1" applyAlignment="1">
      <alignment vertical="top" wrapText="1"/>
    </xf>
    <xf numFmtId="49" fontId="24" fillId="4" borderId="1" xfId="0" applyNumberFormat="1" applyFont="1" applyFill="1" applyBorder="1" applyAlignment="1">
      <alignment horizontal="right" vertical="top" wrapText="1"/>
    </xf>
    <xf numFmtId="0" fontId="22" fillId="0" borderId="1" xfId="0" applyFont="1" applyFill="1" applyBorder="1" applyAlignment="1">
      <alignment horizontal="right" vertical="top"/>
    </xf>
    <xf numFmtId="0" fontId="22" fillId="0" borderId="1" xfId="0" applyFont="1" applyFill="1" applyBorder="1" applyAlignment="1">
      <alignment horizontal="right" vertical="top" wrapText="1"/>
    </xf>
    <xf numFmtId="0" fontId="22" fillId="0" borderId="1" xfId="0" applyNumberFormat="1" applyFont="1" applyFill="1" applyBorder="1" applyAlignment="1">
      <alignment horizontal="right" vertical="top"/>
    </xf>
    <xf numFmtId="0" fontId="22" fillId="0" borderId="1" xfId="0" applyNumberFormat="1" applyFont="1" applyFill="1" applyBorder="1" applyAlignment="1">
      <alignment horizontal="right" vertical="top" wrapText="1"/>
    </xf>
    <xf numFmtId="0" fontId="22" fillId="0" borderId="1" xfId="0" applyNumberFormat="1" applyFont="1" applyBorder="1" applyAlignment="1">
      <alignment horizontal="right" vertical="top" wrapText="1"/>
    </xf>
    <xf numFmtId="49" fontId="22" fillId="0" borderId="1" xfId="0" applyNumberFormat="1" applyFont="1" applyBorder="1" applyAlignment="1">
      <alignment horizontal="right" vertical="top" wrapText="1"/>
    </xf>
    <xf numFmtId="49" fontId="22" fillId="0" borderId="1" xfId="0" applyNumberFormat="1" applyFont="1" applyFill="1" applyBorder="1" applyAlignment="1">
      <alignment horizontal="right" vertical="top" wrapText="1"/>
    </xf>
    <xf numFmtId="0" fontId="22" fillId="0" borderId="1" xfId="0" applyNumberFormat="1" applyFont="1" applyBorder="1" applyAlignment="1">
      <alignment horizontal="right" vertical="top"/>
    </xf>
    <xf numFmtId="0" fontId="22" fillId="0" borderId="1" xfId="0" applyFont="1" applyBorder="1" applyAlignment="1">
      <alignment horizontal="right" vertical="top" wrapText="1"/>
    </xf>
    <xf numFmtId="1" fontId="22" fillId="0" borderId="1" xfId="0" applyNumberFormat="1" applyFont="1" applyFill="1" applyBorder="1" applyAlignment="1">
      <alignment horizontal="right" vertical="top"/>
    </xf>
    <xf numFmtId="1" fontId="22" fillId="0" borderId="1" xfId="0" applyNumberFormat="1" applyFont="1" applyFill="1" applyBorder="1" applyAlignment="1">
      <alignment horizontal="right" vertical="top" wrapText="1"/>
    </xf>
    <xf numFmtId="0" fontId="22" fillId="3" borderId="1" xfId="0" applyFont="1" applyFill="1" applyBorder="1" applyAlignment="1">
      <alignment horizontal="right" vertical="top" wrapText="1"/>
    </xf>
    <xf numFmtId="0" fontId="22" fillId="0" borderId="1" xfId="0" applyFont="1" applyBorder="1" applyAlignment="1">
      <alignment horizontal="right" vertical="top"/>
    </xf>
    <xf numFmtId="0" fontId="22" fillId="3" borderId="1" xfId="0" applyNumberFormat="1" applyFont="1" applyFill="1" applyBorder="1" applyAlignment="1">
      <alignment horizontal="right" vertical="top" wrapText="1"/>
    </xf>
    <xf numFmtId="0" fontId="22" fillId="3" borderId="1" xfId="3" applyNumberFormat="1" applyFont="1" applyFill="1" applyBorder="1" applyAlignment="1">
      <alignment horizontal="right" vertical="top" wrapText="1"/>
    </xf>
    <xf numFmtId="0" fontId="22" fillId="3" borderId="1" xfId="0" applyFont="1" applyFill="1" applyBorder="1" applyAlignment="1">
      <alignment horizontal="right" vertical="top"/>
    </xf>
    <xf numFmtId="0" fontId="25" fillId="0" borderId="1" xfId="0" applyFont="1" applyFill="1" applyBorder="1" applyAlignment="1">
      <alignment horizontal="right" vertical="top" wrapText="1"/>
    </xf>
    <xf numFmtId="0" fontId="25" fillId="3" borderId="1" xfId="0" applyFont="1" applyFill="1" applyBorder="1" applyAlignment="1">
      <alignment horizontal="right" vertical="top" wrapText="1"/>
    </xf>
    <xf numFmtId="0" fontId="25" fillId="0" borderId="1" xfId="0" applyFont="1" applyBorder="1" applyAlignment="1">
      <alignment horizontal="right" vertical="top" wrapText="1"/>
    </xf>
    <xf numFmtId="0" fontId="25" fillId="0" borderId="1" xfId="0" applyFont="1" applyFill="1" applyBorder="1" applyAlignment="1">
      <alignment horizontal="right" vertical="top"/>
    </xf>
    <xf numFmtId="0" fontId="25" fillId="0" borderId="1" xfId="0" applyNumberFormat="1" applyFont="1" applyFill="1" applyBorder="1" applyAlignment="1">
      <alignment horizontal="right" vertical="top" wrapText="1"/>
    </xf>
    <xf numFmtId="0" fontId="22" fillId="0" borderId="1" xfId="0" applyFont="1" applyFill="1" applyBorder="1" applyAlignment="1">
      <alignment horizontal="left" vertical="top" wrapText="1"/>
    </xf>
    <xf numFmtId="0" fontId="22" fillId="0" borderId="1" xfId="0" applyNumberFormat="1" applyFont="1" applyFill="1" applyBorder="1" applyAlignment="1">
      <alignment horizontal="center"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top"/>
    </xf>
    <xf numFmtId="0" fontId="22" fillId="0" borderId="1" xfId="0" applyFont="1" applyFill="1" applyBorder="1" applyAlignment="1">
      <alignment horizontal="center" vertical="top"/>
    </xf>
    <xf numFmtId="0" fontId="22" fillId="4" borderId="1" xfId="0" applyFont="1" applyFill="1" applyBorder="1" applyAlignment="1">
      <alignment horizontal="left" vertical="top"/>
    </xf>
    <xf numFmtId="0" fontId="22" fillId="4" borderId="1" xfId="0" applyNumberFormat="1" applyFont="1" applyFill="1" applyBorder="1" applyAlignment="1">
      <alignment horizontal="center" vertical="top"/>
    </xf>
    <xf numFmtId="0" fontId="22" fillId="0" borderId="1" xfId="0" applyNumberFormat="1" applyFont="1" applyFill="1" applyBorder="1" applyAlignment="1">
      <alignment horizontal="center" vertical="top"/>
    </xf>
    <xf numFmtId="49" fontId="22" fillId="0" borderId="1" xfId="0" applyNumberFormat="1" applyFont="1" applyFill="1" applyBorder="1" applyAlignment="1">
      <alignment horizontal="left" vertical="top" wrapText="1"/>
    </xf>
    <xf numFmtId="49" fontId="22" fillId="0" borderId="1" xfId="0" applyNumberFormat="1" applyFont="1" applyFill="1" applyBorder="1" applyAlignment="1">
      <alignment horizontal="left" vertical="top"/>
    </xf>
    <xf numFmtId="1" fontId="22" fillId="0" borderId="1" xfId="0" applyNumberFormat="1" applyFont="1" applyFill="1" applyBorder="1" applyAlignment="1">
      <alignment horizontal="center" vertical="top"/>
    </xf>
    <xf numFmtId="4" fontId="22" fillId="0" borderId="1" xfId="0" applyNumberFormat="1" applyFont="1" applyFill="1" applyBorder="1" applyAlignment="1">
      <alignment horizontal="center" vertical="top"/>
    </xf>
    <xf numFmtId="49" fontId="22" fillId="0" borderId="1" xfId="0" applyNumberFormat="1" applyFont="1" applyFill="1" applyBorder="1" applyAlignment="1">
      <alignment horizontal="center" vertical="top" wrapText="1"/>
    </xf>
    <xf numFmtId="0" fontId="27" fillId="0" borderId="1" xfId="0" applyFont="1" applyFill="1" applyBorder="1"/>
    <xf numFmtId="0" fontId="27" fillId="0" borderId="1" xfId="0" applyFont="1" applyFill="1" applyBorder="1" applyAlignment="1">
      <alignment horizontal="center" vertical="top"/>
    </xf>
    <xf numFmtId="0" fontId="25" fillId="0" borderId="1" xfId="0" applyFont="1" applyFill="1" applyBorder="1" applyAlignment="1">
      <alignment horizontal="left" vertical="top"/>
    </xf>
    <xf numFmtId="0" fontId="25" fillId="0" borderId="1" xfId="0" applyFont="1" applyFill="1" applyBorder="1" applyAlignment="1">
      <alignment horizontal="left" vertical="top" wrapText="1"/>
    </xf>
    <xf numFmtId="0" fontId="25" fillId="0" borderId="1" xfId="0" applyNumberFormat="1" applyFont="1" applyFill="1" applyBorder="1" applyAlignment="1">
      <alignment horizontal="center" vertical="top"/>
    </xf>
    <xf numFmtId="0" fontId="25" fillId="0" borderId="1" xfId="0" applyFont="1" applyFill="1" applyBorder="1" applyAlignment="1">
      <alignment horizontal="center" vertical="top"/>
    </xf>
    <xf numFmtId="0" fontId="36" fillId="0" borderId="1" xfId="0" applyFont="1" applyFill="1" applyBorder="1" applyAlignment="1">
      <alignment horizontal="center" vertical="top"/>
    </xf>
    <xf numFmtId="0" fontId="27" fillId="0" borderId="1" xfId="0" applyFont="1" applyFill="1" applyBorder="1" applyAlignment="1">
      <alignment horizontal="center"/>
    </xf>
    <xf numFmtId="0" fontId="29" fillId="0" borderId="1" xfId="0" applyFont="1" applyFill="1" applyBorder="1" applyAlignment="1">
      <alignment horizontal="center" vertical="top"/>
    </xf>
    <xf numFmtId="0" fontId="29" fillId="0" borderId="1" xfId="0" applyFont="1" applyFill="1" applyBorder="1" applyAlignment="1">
      <alignment horizontal="left" vertical="top"/>
    </xf>
    <xf numFmtId="0" fontId="22" fillId="0" borderId="1" xfId="0" applyNumberFormat="1" applyFont="1" applyFill="1" applyBorder="1" applyAlignment="1">
      <alignment horizontal="left" vertical="top" wrapText="1"/>
    </xf>
    <xf numFmtId="49" fontId="27" fillId="0" borderId="1" xfId="0" applyNumberFormat="1" applyFont="1" applyFill="1" applyBorder="1" applyAlignment="1">
      <alignment horizontal="left" vertical="top" wrapText="1"/>
    </xf>
    <xf numFmtId="49" fontId="27" fillId="0" borderId="1" xfId="0" applyNumberFormat="1" applyFont="1" applyBorder="1" applyAlignment="1">
      <alignment horizontal="center" vertical="top" wrapText="1"/>
    </xf>
    <xf numFmtId="49" fontId="27" fillId="0" borderId="1" xfId="0" applyNumberFormat="1" applyFont="1" applyBorder="1" applyAlignment="1">
      <alignment horizontal="left" vertical="top" wrapText="1"/>
    </xf>
    <xf numFmtId="0" fontId="21" fillId="0" borderId="1" xfId="0" applyFont="1" applyFill="1" applyBorder="1" applyAlignment="1">
      <alignment horizontal="left" vertical="top"/>
    </xf>
    <xf numFmtId="0" fontId="29" fillId="0" borderId="1" xfId="0" applyNumberFormat="1" applyFont="1" applyFill="1" applyBorder="1" applyAlignment="1">
      <alignment horizontal="center" vertical="top"/>
    </xf>
    <xf numFmtId="0" fontId="22" fillId="3" borderId="1" xfId="0" applyFont="1" applyFill="1" applyBorder="1" applyAlignment="1">
      <alignment horizontal="left" vertical="top"/>
    </xf>
    <xf numFmtId="0" fontId="22" fillId="3" borderId="1" xfId="0" applyFont="1" applyFill="1" applyBorder="1" applyAlignment="1">
      <alignment horizontal="left" vertical="top" wrapText="1"/>
    </xf>
    <xf numFmtId="0" fontId="28" fillId="0" borderId="1" xfId="0" applyFont="1" applyFill="1" applyBorder="1" applyAlignment="1">
      <alignment horizontal="left" vertical="top"/>
    </xf>
    <xf numFmtId="0" fontId="28" fillId="0" borderId="1" xfId="0" applyNumberFormat="1" applyFont="1" applyFill="1" applyBorder="1" applyAlignment="1">
      <alignment horizontal="center" vertical="top"/>
    </xf>
    <xf numFmtId="0" fontId="28" fillId="0" borderId="1" xfId="0" applyFont="1" applyFill="1" applyBorder="1" applyAlignment="1">
      <alignment horizontal="center" vertical="top"/>
    </xf>
    <xf numFmtId="0" fontId="22" fillId="3" borderId="1" xfId="0" applyNumberFormat="1" applyFont="1" applyFill="1" applyBorder="1" applyAlignment="1">
      <alignment horizontal="left" vertical="top"/>
    </xf>
    <xf numFmtId="0" fontId="22" fillId="0" borderId="3" xfId="0" applyFont="1" applyFill="1" applyBorder="1" applyAlignment="1">
      <alignment horizontal="center" vertical="top"/>
    </xf>
    <xf numFmtId="0" fontId="20" fillId="0" borderId="1" xfId="0" applyFont="1" applyBorder="1"/>
    <xf numFmtId="0" fontId="25" fillId="0" borderId="1" xfId="0" applyNumberFormat="1" applyFont="1" applyFill="1" applyBorder="1" applyAlignment="1">
      <alignment horizontal="left" vertical="top"/>
    </xf>
    <xf numFmtId="0" fontId="25" fillId="0" borderId="1" xfId="0" applyNumberFormat="1" applyFont="1" applyFill="1" applyBorder="1" applyAlignment="1">
      <alignment horizontal="center" vertical="top" wrapText="1"/>
    </xf>
    <xf numFmtId="4" fontId="22" fillId="0" borderId="1" xfId="0" applyNumberFormat="1" applyFont="1" applyFill="1" applyBorder="1" applyAlignment="1">
      <alignment horizontal="center" vertical="top" wrapText="1"/>
    </xf>
    <xf numFmtId="0" fontId="21" fillId="0" borderId="1" xfId="0" applyFont="1" applyFill="1" applyBorder="1" applyAlignment="1">
      <alignment horizontal="center" vertical="top"/>
    </xf>
    <xf numFmtId="0" fontId="22" fillId="0" borderId="1" xfId="0" applyFont="1" applyFill="1" applyBorder="1" applyAlignment="1">
      <alignment vertical="top" wrapText="1"/>
    </xf>
    <xf numFmtId="49" fontId="22" fillId="0" borderId="1" xfId="0" applyNumberFormat="1" applyFont="1" applyFill="1" applyBorder="1" applyAlignment="1">
      <alignment horizontal="center" vertical="top"/>
    </xf>
    <xf numFmtId="0" fontId="27" fillId="0" borderId="1" xfId="0" applyFont="1" applyFill="1" applyBorder="1" applyAlignment="1">
      <alignment vertical="top"/>
    </xf>
    <xf numFmtId="3" fontId="22" fillId="0" borderId="1" xfId="0" applyNumberFormat="1" applyFont="1" applyFill="1" applyBorder="1" applyAlignment="1">
      <alignment horizontal="center" vertical="top"/>
    </xf>
    <xf numFmtId="3" fontId="22" fillId="0" borderId="1" xfId="0" applyNumberFormat="1" applyFont="1" applyFill="1" applyBorder="1" applyAlignment="1">
      <alignment horizontal="left" vertical="top"/>
    </xf>
    <xf numFmtId="0" fontId="22" fillId="0" borderId="1" xfId="1" applyNumberFormat="1" applyFont="1" applyFill="1" applyBorder="1" applyAlignment="1">
      <alignment horizontal="center" vertical="top" wrapText="1"/>
    </xf>
    <xf numFmtId="0" fontId="22" fillId="0" borderId="1" xfId="0" applyNumberFormat="1" applyFont="1" applyFill="1" applyBorder="1" applyAlignment="1">
      <alignment vertical="top"/>
    </xf>
    <xf numFmtId="0" fontId="22" fillId="0" borderId="1" xfId="0" applyFont="1" applyFill="1" applyBorder="1" applyAlignment="1">
      <alignment vertical="top"/>
    </xf>
    <xf numFmtId="0" fontId="22" fillId="6" borderId="1" xfId="0" applyNumberFormat="1" applyFont="1" applyFill="1" applyBorder="1" applyAlignment="1">
      <alignment horizontal="right" vertical="top"/>
    </xf>
    <xf numFmtId="0" fontId="22" fillId="6" borderId="1" xfId="1" applyNumberFormat="1" applyFont="1" applyFill="1" applyBorder="1" applyAlignment="1">
      <alignment horizontal="left" vertical="top" wrapText="1"/>
    </xf>
    <xf numFmtId="0" fontId="22" fillId="6" borderId="1" xfId="0" applyNumberFormat="1" applyFont="1" applyFill="1" applyBorder="1" applyAlignment="1">
      <alignment horizontal="center" vertical="top"/>
    </xf>
    <xf numFmtId="49" fontId="22" fillId="0" borderId="1" xfId="0" applyNumberFormat="1" applyFont="1" applyBorder="1" applyAlignment="1">
      <alignment horizontal="left" vertical="top" wrapText="1"/>
    </xf>
    <xf numFmtId="0" fontId="22" fillId="0" borderId="1" xfId="0" applyNumberFormat="1" applyFont="1" applyBorder="1" applyAlignment="1">
      <alignment horizontal="center" vertical="top" wrapText="1"/>
    </xf>
    <xf numFmtId="0" fontId="22" fillId="6" borderId="1" xfId="0" applyNumberFormat="1" applyFont="1" applyFill="1" applyBorder="1" applyAlignment="1">
      <alignment horizontal="right" vertical="top" wrapText="1"/>
    </xf>
    <xf numFmtId="0" fontId="22" fillId="6" borderId="1" xfId="0" applyNumberFormat="1" applyFont="1" applyFill="1" applyBorder="1" applyAlignment="1">
      <alignment horizontal="center" vertical="top" wrapText="1"/>
    </xf>
    <xf numFmtId="49" fontId="22" fillId="6" borderId="1" xfId="0" applyNumberFormat="1" applyFont="1" applyFill="1" applyBorder="1" applyAlignment="1">
      <alignment horizontal="right" vertical="top" wrapText="1"/>
    </xf>
    <xf numFmtId="49" fontId="22" fillId="6" borderId="1" xfId="0" applyNumberFormat="1" applyFont="1" applyFill="1" applyBorder="1" applyAlignment="1">
      <alignment horizontal="left" vertical="top" wrapText="1"/>
    </xf>
    <xf numFmtId="0" fontId="22" fillId="0" borderId="1" xfId="1" applyNumberFormat="1" applyFont="1" applyBorder="1" applyAlignment="1">
      <alignment horizontal="left" vertical="top" wrapText="1"/>
    </xf>
    <xf numFmtId="0" fontId="22" fillId="0" borderId="1" xfId="0" applyNumberFormat="1" applyFont="1" applyBorder="1" applyAlignment="1">
      <alignment horizontal="center" vertical="top"/>
    </xf>
    <xf numFmtId="0" fontId="22" fillId="6" borderId="1" xfId="0" applyFont="1" applyFill="1" applyBorder="1" applyAlignment="1">
      <alignment horizontal="left" vertical="top" wrapText="1"/>
    </xf>
    <xf numFmtId="0" fontId="22" fillId="6" borderId="1" xfId="0" applyFont="1" applyFill="1" applyBorder="1" applyAlignment="1">
      <alignment horizontal="right" vertical="top" wrapText="1"/>
    </xf>
    <xf numFmtId="0" fontId="22" fillId="6" borderId="1" xfId="0" applyFont="1" applyFill="1" applyBorder="1" applyAlignment="1">
      <alignment horizontal="left" vertical="top"/>
    </xf>
    <xf numFmtId="0" fontId="22" fillId="0" borderId="1" xfId="0" applyFont="1" applyBorder="1" applyAlignment="1">
      <alignment horizontal="left" vertical="top" wrapText="1"/>
    </xf>
    <xf numFmtId="0" fontId="25" fillId="0" borderId="1" xfId="0" applyNumberFormat="1" applyFont="1" applyBorder="1" applyAlignment="1">
      <alignment horizontal="center" vertical="top"/>
    </xf>
    <xf numFmtId="0" fontId="22" fillId="0" borderId="1" xfId="0" applyFont="1" applyBorder="1" applyAlignment="1">
      <alignment horizontal="left" vertical="top"/>
    </xf>
    <xf numFmtId="1" fontId="22" fillId="6" borderId="1" xfId="0" applyNumberFormat="1" applyFont="1" applyFill="1" applyBorder="1" applyAlignment="1">
      <alignment horizontal="center" vertical="top"/>
    </xf>
    <xf numFmtId="1" fontId="22" fillId="0" borderId="1" xfId="0" applyNumberFormat="1" applyFont="1" applyBorder="1" applyAlignment="1">
      <alignment horizontal="right" vertical="top" wrapText="1"/>
    </xf>
    <xf numFmtId="0" fontId="22" fillId="0" borderId="1" xfId="0" applyFont="1" applyBorder="1" applyAlignment="1">
      <alignment horizontal="center" vertical="top"/>
    </xf>
    <xf numFmtId="0" fontId="22" fillId="6" borderId="1" xfId="0" applyFont="1" applyFill="1" applyBorder="1" applyAlignment="1">
      <alignment horizontal="center" vertical="top"/>
    </xf>
    <xf numFmtId="0" fontId="22" fillId="6" borderId="1" xfId="1" applyNumberFormat="1" applyFont="1" applyFill="1" applyBorder="1" applyAlignment="1">
      <alignment horizontal="center" vertical="top" wrapText="1"/>
    </xf>
    <xf numFmtId="0" fontId="22" fillId="0" borderId="1" xfId="0" applyFont="1" applyBorder="1" applyAlignment="1">
      <alignment horizontal="center" vertical="top" wrapText="1"/>
    </xf>
    <xf numFmtId="0" fontId="22" fillId="6" borderId="1" xfId="0" applyFont="1" applyFill="1" applyBorder="1" applyAlignment="1">
      <alignment horizontal="center" vertical="top" wrapText="1"/>
    </xf>
    <xf numFmtId="49" fontId="22" fillId="0" borderId="1" xfId="0" applyNumberFormat="1" applyFont="1" applyBorder="1" applyAlignment="1">
      <alignment horizontal="left" vertical="top"/>
    </xf>
    <xf numFmtId="0" fontId="22" fillId="6" borderId="1" xfId="0" applyFont="1" applyFill="1" applyBorder="1" applyAlignment="1">
      <alignment horizontal="right" vertical="top"/>
    </xf>
    <xf numFmtId="49" fontId="22" fillId="6" borderId="1" xfId="0" applyNumberFormat="1" applyFont="1" applyFill="1" applyBorder="1" applyAlignment="1">
      <alignment horizontal="center" vertical="top" wrapText="1"/>
    </xf>
    <xf numFmtId="49" fontId="22" fillId="0" borderId="1" xfId="0" applyNumberFormat="1" applyFont="1" applyBorder="1" applyAlignment="1">
      <alignment horizontal="center" vertical="top" wrapText="1"/>
    </xf>
    <xf numFmtId="0" fontId="22" fillId="6" borderId="1" xfId="3" applyNumberFormat="1" applyFont="1" applyFill="1" applyBorder="1" applyAlignment="1">
      <alignment horizontal="right" vertical="top" wrapText="1"/>
    </xf>
    <xf numFmtId="0" fontId="22" fillId="6" borderId="1" xfId="3" applyNumberFormat="1" applyFont="1" applyFill="1" applyBorder="1" applyAlignment="1">
      <alignment horizontal="right" vertical="top"/>
    </xf>
    <xf numFmtId="1" fontId="22" fillId="6" borderId="1" xfId="0" applyNumberFormat="1" applyFont="1" applyFill="1" applyBorder="1" applyAlignment="1">
      <alignment horizontal="right" vertical="top"/>
    </xf>
    <xf numFmtId="0" fontId="25" fillId="6" borderId="1" xfId="0" applyFont="1" applyFill="1" applyBorder="1" applyAlignment="1">
      <alignment horizontal="center" vertical="top"/>
    </xf>
    <xf numFmtId="0" fontId="22" fillId="0" borderId="1" xfId="3" applyNumberFormat="1" applyFont="1" applyBorder="1" applyAlignment="1">
      <alignment horizontal="right" vertical="top"/>
    </xf>
    <xf numFmtId="1" fontId="22" fillId="0" borderId="1" xfId="0" applyNumberFormat="1" applyFont="1" applyBorder="1" applyAlignment="1">
      <alignment horizontal="right" vertical="top"/>
    </xf>
    <xf numFmtId="0" fontId="22" fillId="0" borderId="1" xfId="1" applyNumberFormat="1" applyFont="1" applyBorder="1" applyAlignment="1">
      <alignment horizontal="center" vertical="top" wrapText="1"/>
    </xf>
    <xf numFmtId="0" fontId="25" fillId="6" borderId="1" xfId="0" applyFont="1" applyFill="1" applyBorder="1" applyAlignment="1">
      <alignment horizontal="left" vertical="top"/>
    </xf>
    <xf numFmtId="0" fontId="25" fillId="6" borderId="1" xfId="0" applyNumberFormat="1" applyFont="1" applyFill="1" applyBorder="1" applyAlignment="1">
      <alignment horizontal="center" vertical="top"/>
    </xf>
    <xf numFmtId="1" fontId="22" fillId="6" borderId="1" xfId="0" applyNumberFormat="1" applyFont="1" applyFill="1" applyBorder="1" applyAlignment="1">
      <alignment horizontal="right" vertical="top" wrapText="1"/>
    </xf>
    <xf numFmtId="0" fontId="22" fillId="3" borderId="1" xfId="1" applyNumberFormat="1" applyFont="1" applyFill="1" applyBorder="1" applyAlignment="1">
      <alignment horizontal="left" vertical="top" wrapText="1"/>
    </xf>
    <xf numFmtId="0" fontId="25" fillId="6" borderId="1" xfId="0" applyNumberFormat="1" applyFont="1" applyFill="1" applyBorder="1" applyAlignment="1">
      <alignment horizontal="center" vertical="top" wrapText="1"/>
    </xf>
    <xf numFmtId="0" fontId="22" fillId="6" borderId="1" xfId="6" applyNumberFormat="1" applyFont="1" applyFill="1" applyBorder="1" applyAlignment="1">
      <alignment horizontal="right" vertical="top" wrapText="1"/>
    </xf>
    <xf numFmtId="0" fontId="25" fillId="0" borderId="1" xfId="0" applyFont="1" applyBorder="1" applyAlignment="1">
      <alignment horizontal="left" vertical="top" wrapText="1"/>
    </xf>
    <xf numFmtId="0" fontId="25" fillId="0" borderId="1" xfId="0" applyNumberFormat="1" applyFont="1" applyBorder="1" applyAlignment="1">
      <alignment horizontal="left" vertical="top"/>
    </xf>
    <xf numFmtId="0" fontId="25" fillId="6" borderId="1" xfId="0" applyFont="1" applyFill="1" applyBorder="1" applyAlignment="1">
      <alignment horizontal="right" vertical="top" wrapText="1"/>
    </xf>
    <xf numFmtId="0" fontId="25" fillId="6" borderId="1" xfId="0" applyFont="1" applyFill="1" applyBorder="1" applyAlignment="1">
      <alignment horizontal="left" vertical="top" wrapText="1"/>
    </xf>
    <xf numFmtId="0" fontId="25" fillId="6" borderId="1" xfId="0" applyNumberFormat="1" applyFont="1" applyFill="1" applyBorder="1" applyAlignment="1">
      <alignment horizontal="left" vertical="top"/>
    </xf>
    <xf numFmtId="0" fontId="25" fillId="0" borderId="1" xfId="0" applyNumberFormat="1" applyFont="1" applyBorder="1" applyAlignment="1">
      <alignment horizontal="right" vertical="top" wrapText="1"/>
    </xf>
    <xf numFmtId="0" fontId="25" fillId="0" borderId="1" xfId="1" applyNumberFormat="1" applyFont="1" applyBorder="1" applyAlignment="1">
      <alignment horizontal="left" vertical="top" wrapText="1"/>
    </xf>
    <xf numFmtId="4" fontId="22" fillId="0" borderId="1" xfId="0" applyNumberFormat="1" applyFont="1" applyBorder="1" applyAlignment="1">
      <alignment horizontal="center" vertical="top" wrapText="1"/>
    </xf>
    <xf numFmtId="0" fontId="22" fillId="0" borderId="1" xfId="0" applyFont="1" applyBorder="1" applyAlignment="1">
      <alignment vertical="top" wrapText="1"/>
    </xf>
    <xf numFmtId="0" fontId="22" fillId="0" borderId="1" xfId="0" applyNumberFormat="1" applyFont="1" applyBorder="1" applyAlignment="1">
      <alignment vertical="top"/>
    </xf>
    <xf numFmtId="0" fontId="22" fillId="6" borderId="1" xfId="0" applyFont="1" applyFill="1" applyBorder="1" applyAlignment="1">
      <alignment vertical="top"/>
    </xf>
    <xf numFmtId="0" fontId="22" fillId="6" borderId="1" xfId="0" applyFont="1" applyFill="1" applyBorder="1" applyAlignment="1">
      <alignment vertical="top" wrapText="1"/>
    </xf>
    <xf numFmtId="0" fontId="25" fillId="6" borderId="1" xfId="3" applyNumberFormat="1" applyFont="1" applyFill="1" applyBorder="1" applyAlignment="1">
      <alignment horizontal="right" vertical="top"/>
    </xf>
    <xf numFmtId="0" fontId="25" fillId="6" borderId="1" xfId="0" applyFont="1" applyFill="1" applyBorder="1" applyAlignment="1">
      <alignment horizontal="right" vertical="top"/>
    </xf>
    <xf numFmtId="0" fontId="25" fillId="0" borderId="1" xfId="0" applyNumberFormat="1" applyFont="1" applyBorder="1" applyAlignment="1">
      <alignment horizontal="center" vertical="top" wrapText="1"/>
    </xf>
    <xf numFmtId="0" fontId="22" fillId="0" borderId="1" xfId="0" applyNumberFormat="1" applyFont="1" applyBorder="1" applyAlignment="1">
      <alignment horizontal="left" vertical="top" wrapText="1"/>
    </xf>
    <xf numFmtId="3" fontId="22" fillId="0" borderId="1" xfId="0" applyNumberFormat="1" applyFont="1" applyBorder="1" applyAlignment="1">
      <alignment horizontal="center" vertical="top"/>
    </xf>
    <xf numFmtId="3" fontId="22" fillId="6" borderId="1" xfId="0" applyNumberFormat="1" applyFont="1" applyFill="1" applyBorder="1" applyAlignment="1">
      <alignment horizontal="left" vertical="top"/>
    </xf>
    <xf numFmtId="0" fontId="34" fillId="5" borderId="8" xfId="0" applyFont="1" applyFill="1" applyBorder="1"/>
    <xf numFmtId="0" fontId="34" fillId="5" borderId="9" xfId="0" applyFont="1" applyFill="1" applyBorder="1"/>
    <xf numFmtId="0" fontId="34" fillId="5" borderId="10" xfId="0" applyFont="1" applyFill="1" applyBorder="1"/>
    <xf numFmtId="0" fontId="22" fillId="6" borderId="2" xfId="0" applyFont="1" applyFill="1" applyBorder="1" applyAlignment="1">
      <alignment horizontal="right" vertical="top" wrapText="1"/>
    </xf>
    <xf numFmtId="0" fontId="22" fillId="6" borderId="2" xfId="0" applyFont="1" applyFill="1" applyBorder="1" applyAlignment="1">
      <alignment horizontal="center" vertical="top"/>
    </xf>
    <xf numFmtId="0" fontId="22" fillId="0" borderId="2" xfId="0" applyNumberFormat="1" applyFont="1" applyBorder="1" applyAlignment="1">
      <alignment horizontal="right" vertical="top" wrapText="1"/>
    </xf>
    <xf numFmtId="0" fontId="22" fillId="0" borderId="2" xfId="0" applyFont="1" applyBorder="1" applyAlignment="1">
      <alignment horizontal="center" vertical="top" wrapText="1"/>
    </xf>
    <xf numFmtId="0" fontId="22" fillId="0" borderId="2" xfId="0" applyFont="1" applyBorder="1" applyAlignment="1">
      <alignment horizontal="center" vertical="top"/>
    </xf>
    <xf numFmtId="4" fontId="0" fillId="0" borderId="0" xfId="0" applyNumberFormat="1"/>
    <xf numFmtId="0" fontId="22" fillId="0" borderId="7" xfId="0" applyNumberFormat="1" applyFont="1" applyBorder="1" applyAlignment="1">
      <alignment horizontal="center" vertical="top"/>
    </xf>
    <xf numFmtId="0" fontId="22" fillId="6" borderId="7" xfId="0" applyNumberFormat="1" applyFont="1" applyFill="1" applyBorder="1" applyAlignment="1">
      <alignment horizontal="center" vertical="top"/>
    </xf>
    <xf numFmtId="0" fontId="22" fillId="6" borderId="2" xfId="0" applyFont="1" applyFill="1" applyBorder="1" applyAlignment="1">
      <alignment horizontal="left" vertical="top"/>
    </xf>
    <xf numFmtId="1" fontId="0" fillId="0" borderId="0" xfId="0" applyNumberFormat="1"/>
    <xf numFmtId="1" fontId="7" fillId="0" borderId="1" xfId="0" applyNumberFormat="1" applyFont="1" applyBorder="1" applyAlignment="1">
      <alignment horizontal="left" vertical="center"/>
    </xf>
    <xf numFmtId="0" fontId="13" fillId="0" borderId="1" xfId="0" applyFont="1" applyBorder="1" applyAlignment="1">
      <alignment horizontal="left" vertical="center" wrapText="1"/>
    </xf>
    <xf numFmtId="0" fontId="22" fillId="0" borderId="11" xfId="0" applyFont="1" applyFill="1" applyBorder="1" applyAlignment="1">
      <alignment horizontal="left" vertical="top" wrapText="1"/>
    </xf>
    <xf numFmtId="0" fontId="22" fillId="0" borderId="11" xfId="0" applyFont="1" applyFill="1" applyBorder="1" applyAlignment="1">
      <alignment horizontal="left" vertical="top"/>
    </xf>
    <xf numFmtId="0" fontId="22" fillId="0" borderId="11" xfId="1" applyFont="1" applyFill="1" applyBorder="1" applyAlignment="1">
      <alignment horizontal="left" vertical="top" wrapText="1"/>
    </xf>
    <xf numFmtId="49" fontId="22" fillId="0" borderId="11" xfId="0" applyNumberFormat="1" applyFont="1" applyFill="1" applyBorder="1" applyAlignment="1">
      <alignment horizontal="left" vertical="top" wrapText="1"/>
    </xf>
    <xf numFmtId="49" fontId="22" fillId="0" borderId="11" xfId="0" applyNumberFormat="1" applyFont="1" applyFill="1" applyBorder="1" applyAlignment="1">
      <alignment horizontal="left" vertical="top"/>
    </xf>
    <xf numFmtId="0" fontId="25" fillId="0" borderId="11" xfId="0" applyFont="1" applyFill="1" applyBorder="1" applyAlignment="1">
      <alignment horizontal="left" vertical="top"/>
    </xf>
    <xf numFmtId="0" fontId="22" fillId="3" borderId="11" xfId="0" applyFont="1" applyFill="1" applyBorder="1" applyAlignment="1">
      <alignment horizontal="left" vertical="top"/>
    </xf>
    <xf numFmtId="0" fontId="22" fillId="3" borderId="11" xfId="1" applyFont="1" applyFill="1" applyBorder="1" applyAlignment="1">
      <alignment horizontal="left" vertical="top" wrapText="1"/>
    </xf>
    <xf numFmtId="0" fontId="25" fillId="0" borderId="11" xfId="0" applyFont="1" applyFill="1" applyBorder="1" applyAlignment="1">
      <alignment horizontal="left" vertical="top" wrapText="1"/>
    </xf>
    <xf numFmtId="0" fontId="25" fillId="0" borderId="11" xfId="1" applyFont="1" applyFill="1" applyBorder="1" applyAlignment="1">
      <alignment horizontal="left" vertical="top" wrapText="1"/>
    </xf>
    <xf numFmtId="0" fontId="22" fillId="0" borderId="11" xfId="1" applyNumberFormat="1" applyFont="1" applyFill="1" applyBorder="1" applyAlignment="1">
      <alignment horizontal="left" vertical="top" wrapText="1"/>
    </xf>
    <xf numFmtId="0" fontId="22" fillId="3" borderId="11" xfId="0" applyFont="1" applyFill="1" applyBorder="1" applyAlignment="1">
      <alignment horizontal="left" vertical="top" wrapText="1"/>
    </xf>
    <xf numFmtId="0" fontId="22" fillId="3" borderId="5" xfId="0" applyFont="1" applyFill="1" applyBorder="1" applyAlignment="1">
      <alignment horizontal="left" vertical="top"/>
    </xf>
    <xf numFmtId="0" fontId="22" fillId="3" borderId="5" xfId="0" applyNumberFormat="1" applyFont="1" applyFill="1" applyBorder="1" applyAlignment="1">
      <alignment horizontal="left" vertical="top"/>
    </xf>
    <xf numFmtId="0" fontId="25" fillId="0" borderId="5" xfId="0" applyNumberFormat="1" applyFont="1" applyFill="1" applyBorder="1" applyAlignment="1">
      <alignment horizontal="left" vertical="top"/>
    </xf>
    <xf numFmtId="0" fontId="22" fillId="0" borderId="5" xfId="0" applyNumberFormat="1" applyFont="1" applyFill="1" applyBorder="1" applyAlignment="1">
      <alignment horizontal="left" vertical="top" wrapText="1"/>
    </xf>
    <xf numFmtId="0" fontId="22" fillId="0" borderId="5" xfId="0" applyFont="1" applyFill="1" applyBorder="1" applyAlignment="1">
      <alignment horizontal="left" vertical="top"/>
    </xf>
    <xf numFmtId="3" fontId="22" fillId="0" borderId="5" xfId="0" applyNumberFormat="1" applyFont="1" applyFill="1" applyBorder="1" applyAlignment="1">
      <alignment horizontal="left" vertical="top"/>
    </xf>
    <xf numFmtId="0" fontId="22" fillId="0" borderId="13" xfId="0" applyFont="1" applyFill="1" applyBorder="1" applyAlignment="1">
      <alignment horizontal="left" vertical="top" wrapText="1"/>
    </xf>
    <xf numFmtId="0" fontId="22" fillId="0" borderId="14" xfId="0" applyNumberFormat="1" applyFont="1" applyFill="1" applyBorder="1" applyAlignment="1">
      <alignment horizontal="left" vertical="top" wrapText="1"/>
    </xf>
    <xf numFmtId="0" fontId="22" fillId="0" borderId="5" xfId="0" applyNumberFormat="1" applyFont="1" applyFill="1" applyBorder="1" applyAlignment="1">
      <alignment horizontal="left" vertical="top"/>
    </xf>
    <xf numFmtId="0" fontId="22" fillId="0" borderId="5" xfId="0" applyFont="1" applyFill="1" applyBorder="1" applyAlignment="1">
      <alignment horizontal="left" vertical="top" wrapText="1"/>
    </xf>
    <xf numFmtId="1" fontId="22" fillId="0" borderId="5" xfId="0" applyNumberFormat="1" applyFont="1" applyFill="1" applyBorder="1" applyAlignment="1">
      <alignment horizontal="left" vertical="top"/>
    </xf>
    <xf numFmtId="0" fontId="25" fillId="0" borderId="5" xfId="0" applyNumberFormat="1" applyFont="1" applyFill="1" applyBorder="1" applyAlignment="1">
      <alignment horizontal="left" vertical="top" wrapText="1"/>
    </xf>
    <xf numFmtId="4" fontId="22" fillId="0" borderId="5" xfId="0" applyNumberFormat="1" applyFont="1" applyFill="1" applyBorder="1" applyAlignment="1">
      <alignment horizontal="left" vertical="top" wrapText="1"/>
    </xf>
    <xf numFmtId="0" fontId="22" fillId="0" borderId="5" xfId="1" applyNumberFormat="1" applyFont="1" applyFill="1" applyBorder="1" applyAlignment="1">
      <alignment horizontal="left" vertical="top" wrapText="1"/>
    </xf>
    <xf numFmtId="0" fontId="25" fillId="0" borderId="5" xfId="0" applyFont="1" applyFill="1" applyBorder="1" applyAlignment="1">
      <alignment horizontal="left" vertical="top"/>
    </xf>
    <xf numFmtId="0" fontId="22" fillId="0" borderId="12" xfId="0" applyFont="1" applyFill="1" applyBorder="1" applyAlignment="1">
      <alignment horizontal="left" vertical="top"/>
    </xf>
    <xf numFmtId="0" fontId="22" fillId="0" borderId="15" xfId="0" applyFont="1" applyFill="1" applyBorder="1" applyAlignment="1">
      <alignment horizontal="left" vertical="top" wrapText="1"/>
    </xf>
    <xf numFmtId="0" fontId="22" fillId="0" borderId="12" xfId="0" applyNumberFormat="1" applyFont="1" applyFill="1" applyBorder="1" applyAlignment="1">
      <alignment horizontal="left" vertical="top" wrapText="1"/>
    </xf>
    <xf numFmtId="0" fontId="22" fillId="0" borderId="16" xfId="0" applyNumberFormat="1" applyFont="1" applyFill="1" applyBorder="1" applyAlignment="1">
      <alignment horizontal="left" vertical="top" wrapText="1"/>
    </xf>
    <xf numFmtId="0" fontId="0" fillId="0" borderId="0" xfId="0" pivotButton="1"/>
    <xf numFmtId="0" fontId="0" fillId="0" borderId="0" xfId="0" applyAlignment="1">
      <alignment horizontal="left"/>
    </xf>
    <xf numFmtId="0" fontId="0" fillId="0" borderId="0" xfId="0" applyNumberFormat="1"/>
    <xf numFmtId="0" fontId="7" fillId="0" borderId="1" xfId="0" applyFont="1" applyFill="1" applyBorder="1" applyAlignment="1">
      <alignment horizontal="left" vertical="center"/>
    </xf>
    <xf numFmtId="1" fontId="7" fillId="0" borderId="1" xfId="0" applyNumberFormat="1" applyFont="1" applyFill="1" applyBorder="1" applyAlignment="1">
      <alignment horizontal="left" vertical="center"/>
    </xf>
    <xf numFmtId="0" fontId="22" fillId="0" borderId="3" xfId="0" applyNumberFormat="1" applyFont="1" applyFill="1" applyBorder="1" applyAlignment="1">
      <alignment horizontal="center" vertical="top"/>
    </xf>
    <xf numFmtId="0" fontId="7"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2"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31" fillId="2" borderId="1" xfId="0" applyFont="1" applyFill="1" applyBorder="1" applyAlignment="1">
      <alignment horizontal="left" vertical="center" wrapText="1"/>
    </xf>
    <xf numFmtId="3" fontId="7" fillId="0" borderId="1" xfId="0" applyNumberFormat="1" applyFont="1" applyBorder="1" applyAlignment="1">
      <alignment horizontal="left" vertical="center" wrapText="1"/>
    </xf>
    <xf numFmtId="0" fontId="13" fillId="2" borderId="1" xfId="0" applyFont="1" applyFill="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Alignment="1">
      <alignment horizontal="left" vertical="center" wrapText="1"/>
    </xf>
    <xf numFmtId="0" fontId="12" fillId="0" borderId="1" xfId="0" applyFont="1" applyBorder="1" applyAlignment="1">
      <alignment horizontal="left" vertical="center" wrapText="1"/>
    </xf>
    <xf numFmtId="0" fontId="31" fillId="0" borderId="1" xfId="0" applyFont="1" applyBorder="1" applyAlignment="1">
      <alignment horizontal="left" vertical="center" wrapText="1"/>
    </xf>
    <xf numFmtId="0" fontId="13" fillId="0" borderId="1" xfId="0" applyFont="1" applyBorder="1" applyAlignment="1">
      <alignment horizontal="left" vertical="center" wrapText="1"/>
    </xf>
    <xf numFmtId="0" fontId="7" fillId="0" borderId="0"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horizontal="center"/>
    </xf>
    <xf numFmtId="0" fontId="11" fillId="0" borderId="0" xfId="0" applyFont="1" applyAlignment="1">
      <alignment horizontal="center" vertical="center"/>
    </xf>
    <xf numFmtId="0" fontId="2" fillId="0" borderId="0" xfId="0" applyFont="1" applyAlignment="1">
      <alignment horizontal="center" vertical="center"/>
    </xf>
    <xf numFmtId="0" fontId="7" fillId="0" borderId="1" xfId="0" applyFont="1" applyBorder="1" applyAlignment="1">
      <alignment vertical="center" wrapText="1"/>
    </xf>
    <xf numFmtId="0" fontId="13" fillId="0" borderId="1" xfId="0" applyFont="1" applyBorder="1" applyAlignment="1">
      <alignment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xf>
    <xf numFmtId="0" fontId="7" fillId="0" borderId="0" xfId="0" applyFont="1" applyBorder="1" applyAlignment="1">
      <alignment horizontal="left" vertical="center"/>
    </xf>
    <xf numFmtId="0" fontId="7" fillId="0" borderId="4" xfId="0" applyFont="1" applyBorder="1" applyAlignment="1">
      <alignment horizontal="lef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left" vertical="center" wrapText="1"/>
    </xf>
    <xf numFmtId="0" fontId="12" fillId="0" borderId="1" xfId="0" applyFont="1" applyBorder="1" applyAlignment="1">
      <alignment horizontal="center" vertical="center" wrapText="1"/>
    </xf>
  </cellXfs>
  <cellStyles count="9">
    <cellStyle name="Įprastas 2" xfId="2"/>
    <cellStyle name="Įprastas 2 2 4" xfId="1"/>
    <cellStyle name="Kablelis 2" xfId="4"/>
    <cellStyle name="Normal" xfId="0" builtinId="0"/>
    <cellStyle name="Paprastas 2" xfId="3"/>
    <cellStyle name="Paprastas 2 2" xfId="5"/>
    <cellStyle name="Paprastas 2 3" xfId="6"/>
    <cellStyle name="Paprastas 2 5" xfId="7"/>
    <cellStyle name="Suma 2" xfId="8"/>
  </cellStyles>
  <dxfs count="36">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
      <font>
        <b val="0"/>
        <i val="0"/>
        <strike val="0"/>
        <condense val="0"/>
        <extend val="0"/>
        <outline val="0"/>
        <shadow val="0"/>
        <u val="none"/>
        <vertAlign val="baseline"/>
        <sz val="9"/>
        <color auto="1"/>
        <name val="Times New Roman"/>
        <scheme val="none"/>
      </font>
      <numFmt numFmtId="0" formatCode="General"/>
      <fill>
        <patternFill patternType="solid">
          <fgColor theme="4" tint="0.79998168889431442"/>
          <bgColor theme="4" tint="0.79998168889431442"/>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
      <font>
        <b val="0"/>
        <i val="0"/>
        <strike val="0"/>
        <condense val="0"/>
        <extend val="0"/>
        <outline val="0"/>
        <shadow val="0"/>
        <u val="none"/>
        <vertAlign val="baseline"/>
        <sz val="9"/>
        <color auto="1"/>
        <name val="Times New Roman"/>
        <scheme val="none"/>
      </font>
      <numFmt numFmtId="0" formatCode="Genera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
      <font>
        <b val="0"/>
        <i val="0"/>
        <strike val="0"/>
        <condense val="0"/>
        <extend val="0"/>
        <outline val="0"/>
        <shadow val="0"/>
        <u val="none"/>
        <vertAlign val="baseline"/>
        <sz val="9"/>
        <color auto="1"/>
        <name val="Times New Roman"/>
        <scheme val="none"/>
      </font>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
      <numFmt numFmtId="0" formatCode="General"/>
    </dxf>
    <dxf>
      <border outline="0">
        <top style="thin">
          <color indexed="64"/>
        </top>
      </border>
    </dxf>
    <dxf>
      <border outline="0">
        <top style="thin">
          <color theme="4" tint="0.39997558519241921"/>
        </top>
        <bottom style="thin">
          <color indexed="64"/>
        </bottom>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alignment horizontal="left" vertical="top" textRotation="0" indent="0" justifyLastLine="0" shrinkToFit="0" readingOrder="0"/>
    </dxf>
    <dxf>
      <alignment horizontal="left" vertical="top" textRotation="0" indent="0" justifyLastLine="0" shrinkToFit="0" readingOrder="0"/>
    </dxf>
    <dxf>
      <border outline="0">
        <left style="thin">
          <color indexed="64"/>
        </left>
        <right style="thin">
          <color indexed="64"/>
        </right>
        <top style="thin">
          <color indexed="64"/>
        </top>
        <bottom style="thin">
          <color indexed="64"/>
        </bottom>
      </border>
    </dxf>
    <dxf>
      <alignment horizontal="left" vertical="top" textRotation="0" indent="0" justifyLastLine="0" shrinkToFit="0" readingOrder="0"/>
    </dxf>
    <dxf>
      <border outline="0">
        <bottom style="thin">
          <color indexed="64"/>
        </bottom>
      </border>
    </dxf>
    <dxf>
      <alignment horizontal="left"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pdkau06" refreshedDate="43213.692496875003" createdVersion="5" refreshedVersion="5" minRefreshableVersion="3" recordCount="593">
  <cacheSource type="worksheet">
    <worksheetSource name="Lentelė10"/>
  </cacheSource>
  <cacheFields count="2">
    <cacheField name="Stulpelis1" numFmtId="0">
      <sharedItems count="71">
        <s v="1.1.1.1."/>
        <s v="7.2.1."/>
        <s v="7.2.2."/>
        <s v="7.2.3."/>
        <s v="P.B.209"/>
        <s v="P.B.209 "/>
        <s v="P.B.214"/>
        <s v="P.B.222"/>
        <s v="P.B.235"/>
        <s v="P.B.236"/>
        <s v="P.B.238"/>
        <s v="P.B.239"/>
        <s v="P.N.028"/>
        <s v="P.N.050"/>
        <s v="P.N.051"/>
        <s v="P.N.053"/>
        <s v="P.N.054"/>
        <s v="P.N.074"/>
        <s v="P.N.092"/>
        <s v="P.N.093"/>
        <s v="P.N.094"/>
        <s v="P.N.096"/>
        <s v="P.N.097"/>
        <s v="P.N.098"/>
        <s v="P.N.304"/>
        <s v="P.N.507"/>
        <s v="P.N.508"/>
        <s v="P.N.601"/>
        <s v="P.N.604"/>
        <s v="P.N.717"/>
        <s v="P.N.722"/>
        <s v="P.N.722 "/>
        <s v="P.N.723 "/>
        <s v="P.N.743"/>
        <s v="P.N.817"/>
        <s v="P.N.910"/>
        <s v="P.S.318"/>
        <s v="P.S.319"/>
        <s v="P.S.321"/>
        <s v="P.S.322"/>
        <s v="P.S.323"/>
        <s v="P.S.325"/>
        <s v="P.S.328"/>
        <s v="P.S.329"/>
        <s v="P.S.333"/>
        <s v="P.S.335"/>
        <s v="P.S.335 "/>
        <s v="P.S.336"/>
        <s v="P.S.338"/>
        <s v="P.S.339"/>
        <s v="P.S.342"/>
        <s v="P.S.361"/>
        <s v="P.S.362"/>
        <s v="P.S.363"/>
        <s v="P.S.364"/>
        <s v="P.S.365"/>
        <s v="P.S.372"/>
        <s v="P.S.379 "/>
        <s v="P.S.380"/>
        <s v="P.S.415"/>
        <s v="P.S.416"/>
        <s v="R.N.091"/>
        <s v="R.N.403"/>
        <s v="R.N.404"/>
        <s v="R.S.342"/>
        <s v="V.1"/>
        <s v="V.2"/>
        <s v="V.3"/>
        <s v="V.4"/>
        <s v="V.5"/>
        <s v="V.6"/>
      </sharedItems>
    </cacheField>
    <cacheField name="Stulpelis2" numFmtId="0">
      <sharedItems containsString="0" containsBlank="1" containsNumber="1" minValue="0" maxValue="509851.88" count="291">
        <n v="1"/>
        <n v="2"/>
        <n v="7"/>
        <n v="14"/>
        <n v="5"/>
        <n v="3"/>
        <n v="240"/>
        <n v="488"/>
        <n v="653"/>
        <n v="48"/>
        <n v="747"/>
        <n v="812"/>
        <n v="553"/>
        <n v="584"/>
        <n v="177"/>
        <n v="543"/>
        <n v="877"/>
        <n v="263"/>
        <n v="402"/>
        <n v="335"/>
        <n v="410"/>
        <n v="392"/>
        <n v="406"/>
        <n v="637"/>
        <n v="635"/>
        <n v="140"/>
        <n v="65"/>
        <n v="857"/>
        <n v="882"/>
        <n v="859"/>
        <n v="823"/>
        <n v="644"/>
        <n v="935"/>
        <n v="995"/>
        <n v="795"/>
        <n v="728"/>
        <n v="926"/>
        <n v="841"/>
        <n v="752"/>
        <n v="279"/>
        <n v="239"/>
        <n v="157"/>
        <n v="156"/>
        <n v="82"/>
        <n v="166"/>
        <n v="130"/>
        <n v="503"/>
        <n v="1121"/>
        <n v="1451"/>
        <n v="273"/>
        <n v="750"/>
        <n v="872"/>
        <n v="781"/>
        <n v="254"/>
        <n v="264"/>
        <n v="4"/>
        <n v="350"/>
        <n v="200"/>
        <n v="3400"/>
        <n v="1200"/>
        <n v="56697"/>
        <n v="2000"/>
        <n v="800"/>
        <n v="0.65"/>
        <n v="2.903"/>
        <n v="3.69"/>
        <n v="0.60599999999999998"/>
        <n v="0.32400000000000001"/>
        <n v="9.6349999999999998"/>
        <n v="0.49"/>
        <n v="0.68799999999999994"/>
        <n v="0.40400000000000003"/>
        <n v="0.19650000000000001"/>
        <n v="1.159"/>
        <n v="1.8"/>
        <n v="0.3"/>
        <n v="0.15"/>
        <n v="1.1000000000000001"/>
        <n v="0.4"/>
        <n v="0.08"/>
        <n v="8.2600000000000007E-2"/>
        <n v="762"/>
        <n v="473"/>
        <n v="290"/>
        <n v="250"/>
        <n v="500"/>
        <n v="180"/>
        <n v="300"/>
        <n v="531"/>
        <n v="225"/>
        <n v="20"/>
        <n v="185"/>
        <n v="1090"/>
        <n v="192"/>
        <n v="50"/>
        <n v="104"/>
        <n v="756"/>
        <n v="480"/>
        <n v="550"/>
        <n v="650"/>
        <n v="1700"/>
        <n v="206"/>
        <n v="144"/>
        <n v="245"/>
        <n v="732"/>
        <n v="891"/>
        <n v="7200"/>
        <n v="5410"/>
        <n v="13510"/>
        <n v="5000"/>
        <n v="34904"/>
        <n v="30041"/>
        <n v="350000"/>
        <n v="30000"/>
        <n v="29000"/>
        <n v="45254.62"/>
        <n v="48650"/>
        <n v="15858"/>
        <n v="29432"/>
        <n v="20000"/>
        <n v="19419"/>
        <n v="2025"/>
        <n v="8821.7199999999993"/>
        <n v="509851.88"/>
        <n v="35000"/>
        <n v="15200"/>
        <n v="141600"/>
        <n v="68477"/>
        <n v="10246.01"/>
        <n v="58156"/>
        <n v="40001"/>
        <n v="10015"/>
        <n v="56350"/>
        <n v="10000"/>
        <n v="12000"/>
        <n v="211000"/>
        <n v="200000"/>
        <n v="75829"/>
        <n v="702"/>
        <n v="3534"/>
        <n v="5700"/>
        <n v="3073"/>
        <n v="646"/>
        <n v="494"/>
        <n v="147"/>
        <n v="5726"/>
        <n v="16"/>
        <n v="75"/>
        <n v="794.02"/>
        <n v="100"/>
        <n v="338"/>
        <n v="163"/>
        <n v="0"/>
        <n v="748"/>
        <n v="323"/>
        <n v="55"/>
        <n v="131"/>
        <n v="672"/>
        <n v="332"/>
        <n v="725"/>
        <n v="1231"/>
        <n v="167"/>
        <n v="105"/>
        <n v="1323"/>
        <n v="890"/>
        <n v="7452"/>
        <n v="400"/>
        <n v="2285"/>
        <n v="110"/>
        <n v="778"/>
        <n v="51"/>
        <n v="107"/>
        <n v="288"/>
        <n v="416"/>
        <n v="114"/>
        <n v="478"/>
        <n v="744"/>
        <n v="536"/>
        <n v="551"/>
        <n v="1012"/>
        <n v="1265"/>
        <n v="1812"/>
        <n v="3200"/>
        <n v="468"/>
        <n v="1976"/>
        <n v="238"/>
        <n v="506"/>
        <n v="425"/>
        <n v="285"/>
        <n v="422"/>
        <n v="308292"/>
        <n v="27"/>
        <n v="38"/>
        <n v="0.5"/>
        <n v="3914"/>
        <n v="26"/>
        <n v="44"/>
        <n v="61"/>
        <n v="66"/>
        <n v="54"/>
        <n v="6"/>
        <n v="8"/>
        <n v="369"/>
        <n v="274"/>
        <n v="704"/>
        <n v="0.23"/>
        <n v="0.9"/>
        <n v="0.7"/>
        <n v="2.87"/>
        <n v="4.26"/>
        <n v="6.14"/>
        <n v="1.67"/>
        <n v="1.1100000000000001"/>
        <n v="0.48799999999999999"/>
        <n v="10"/>
        <n v="24"/>
        <n v="316.10000000000002"/>
        <n v="228.22"/>
        <n v="612.75"/>
        <n v="2947"/>
        <n v="3243.6"/>
        <n v="13065"/>
        <n v="4373.5"/>
        <n v="3937"/>
        <n v="1600"/>
        <n v="2463"/>
        <n v="26.22"/>
        <n v="8.1890000000000001"/>
        <n v="6.3869999999999996"/>
        <n v="9.8369999999999997"/>
        <n v="7.6280000000000001"/>
        <n v="7.62"/>
        <n v="4.508"/>
        <n v="9"/>
        <n v="17"/>
        <n v="11"/>
        <n v="19"/>
        <n v="80"/>
        <n v="30"/>
        <n v="18"/>
        <n v="40"/>
        <n v="173"/>
        <n v="37866"/>
        <n v="10265"/>
        <n v="91148"/>
        <n v="8440"/>
        <n v="10206.5"/>
        <n v="40000"/>
        <n v="3938"/>
        <n v="84826"/>
        <n v="13198"/>
        <n v="16740"/>
        <n v="255.37"/>
        <n v="1000"/>
        <n v="4533"/>
        <n v="2500"/>
        <n v="1275"/>
        <n v="1588"/>
        <m/>
        <n v="35"/>
        <n v="25"/>
        <n v="56"/>
        <n v="108"/>
        <n v="34"/>
        <n v="70"/>
        <n v="23"/>
        <n v="3.35"/>
        <n v="1.86"/>
        <n v="128"/>
        <n v="4.5599999999999996"/>
        <n v="2.9"/>
        <n v="31"/>
        <n v="118"/>
        <n v="45"/>
        <n v="73"/>
        <n v="60"/>
        <n v="78"/>
        <n v="1.7041000000000001E-2"/>
        <n v="1.8509599999999999E-4"/>
        <n v="3.0999999999999999E-3"/>
        <n v="0.34169498799999998"/>
        <n v="0.09"/>
        <n v="4.86E-4"/>
        <n v="2.433E-4"/>
        <n v="7.9899999999999999E-2"/>
        <n v="2.1122369999999999E-3"/>
        <n v="1.72364E-3"/>
        <n v="2.1998109999999999E-3"/>
        <n v="2.4699499999999998E-3"/>
        <n v="1.2813779999999999E-3"/>
        <n v="3.8284439999999999E-3"/>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93">
  <r>
    <x v="0"/>
    <x v="0"/>
  </r>
  <r>
    <x v="0"/>
    <x v="0"/>
  </r>
  <r>
    <x v="0"/>
    <x v="0"/>
  </r>
  <r>
    <x v="0"/>
    <x v="0"/>
  </r>
  <r>
    <x v="0"/>
    <x v="0"/>
  </r>
  <r>
    <x v="1"/>
    <x v="0"/>
  </r>
  <r>
    <x v="1"/>
    <x v="0"/>
  </r>
  <r>
    <x v="1"/>
    <x v="0"/>
  </r>
  <r>
    <x v="1"/>
    <x v="0"/>
  </r>
  <r>
    <x v="1"/>
    <x v="1"/>
  </r>
  <r>
    <x v="1"/>
    <x v="0"/>
  </r>
  <r>
    <x v="1"/>
    <x v="0"/>
  </r>
  <r>
    <x v="1"/>
    <x v="0"/>
  </r>
  <r>
    <x v="1"/>
    <x v="0"/>
  </r>
  <r>
    <x v="1"/>
    <x v="0"/>
  </r>
  <r>
    <x v="1"/>
    <x v="0"/>
  </r>
  <r>
    <x v="1"/>
    <x v="0"/>
  </r>
  <r>
    <x v="1"/>
    <x v="0"/>
  </r>
  <r>
    <x v="1"/>
    <x v="0"/>
  </r>
  <r>
    <x v="1"/>
    <x v="0"/>
  </r>
  <r>
    <x v="1"/>
    <x v="0"/>
  </r>
  <r>
    <x v="1"/>
    <x v="0"/>
  </r>
  <r>
    <x v="1"/>
    <x v="0"/>
  </r>
  <r>
    <x v="1"/>
    <x v="1"/>
  </r>
  <r>
    <x v="1"/>
    <x v="0"/>
  </r>
  <r>
    <x v="1"/>
    <x v="2"/>
  </r>
  <r>
    <x v="1"/>
    <x v="3"/>
  </r>
  <r>
    <x v="1"/>
    <x v="4"/>
  </r>
  <r>
    <x v="1"/>
    <x v="1"/>
  </r>
  <r>
    <x v="1"/>
    <x v="0"/>
  </r>
  <r>
    <x v="1"/>
    <x v="5"/>
  </r>
  <r>
    <x v="1"/>
    <x v="1"/>
  </r>
  <r>
    <x v="1"/>
    <x v="5"/>
  </r>
  <r>
    <x v="1"/>
    <x v="4"/>
  </r>
  <r>
    <x v="1"/>
    <x v="0"/>
  </r>
  <r>
    <x v="1"/>
    <x v="0"/>
  </r>
  <r>
    <x v="1"/>
    <x v="0"/>
  </r>
  <r>
    <x v="1"/>
    <x v="0"/>
  </r>
  <r>
    <x v="1"/>
    <x v="0"/>
  </r>
  <r>
    <x v="1"/>
    <x v="0"/>
  </r>
  <r>
    <x v="1"/>
    <x v="0"/>
  </r>
  <r>
    <x v="1"/>
    <x v="0"/>
  </r>
  <r>
    <x v="1"/>
    <x v="0"/>
  </r>
  <r>
    <x v="1"/>
    <x v="0"/>
  </r>
  <r>
    <x v="1"/>
    <x v="0"/>
  </r>
  <r>
    <x v="1"/>
    <x v="0"/>
  </r>
  <r>
    <x v="1"/>
    <x v="0"/>
  </r>
  <r>
    <x v="1"/>
    <x v="2"/>
  </r>
  <r>
    <x v="1"/>
    <x v="0"/>
  </r>
  <r>
    <x v="1"/>
    <x v="0"/>
  </r>
  <r>
    <x v="1"/>
    <x v="0"/>
  </r>
  <r>
    <x v="1"/>
    <x v="0"/>
  </r>
  <r>
    <x v="1"/>
    <x v="0"/>
  </r>
  <r>
    <x v="1"/>
    <x v="0"/>
  </r>
  <r>
    <x v="1"/>
    <x v="0"/>
  </r>
  <r>
    <x v="2"/>
    <x v="6"/>
  </r>
  <r>
    <x v="2"/>
    <x v="7"/>
  </r>
  <r>
    <x v="2"/>
    <x v="8"/>
  </r>
  <r>
    <x v="2"/>
    <x v="9"/>
  </r>
  <r>
    <x v="2"/>
    <x v="10"/>
  </r>
  <r>
    <x v="2"/>
    <x v="11"/>
  </r>
  <r>
    <x v="2"/>
    <x v="12"/>
  </r>
  <r>
    <x v="2"/>
    <x v="13"/>
  </r>
  <r>
    <x v="2"/>
    <x v="14"/>
  </r>
  <r>
    <x v="2"/>
    <x v="15"/>
  </r>
  <r>
    <x v="2"/>
    <x v="14"/>
  </r>
  <r>
    <x v="2"/>
    <x v="16"/>
  </r>
  <r>
    <x v="2"/>
    <x v="17"/>
  </r>
  <r>
    <x v="2"/>
    <x v="18"/>
  </r>
  <r>
    <x v="2"/>
    <x v="19"/>
  </r>
  <r>
    <x v="2"/>
    <x v="20"/>
  </r>
  <r>
    <x v="2"/>
    <x v="21"/>
  </r>
  <r>
    <x v="2"/>
    <x v="22"/>
  </r>
  <r>
    <x v="2"/>
    <x v="10"/>
  </r>
  <r>
    <x v="2"/>
    <x v="23"/>
  </r>
  <r>
    <x v="2"/>
    <x v="24"/>
  </r>
  <r>
    <x v="2"/>
    <x v="25"/>
  </r>
  <r>
    <x v="2"/>
    <x v="26"/>
  </r>
  <r>
    <x v="2"/>
    <x v="27"/>
  </r>
  <r>
    <x v="2"/>
    <x v="10"/>
  </r>
  <r>
    <x v="2"/>
    <x v="28"/>
  </r>
  <r>
    <x v="2"/>
    <x v="29"/>
  </r>
  <r>
    <x v="2"/>
    <x v="30"/>
  </r>
  <r>
    <x v="2"/>
    <x v="31"/>
  </r>
  <r>
    <x v="2"/>
    <x v="32"/>
  </r>
  <r>
    <x v="2"/>
    <x v="33"/>
  </r>
  <r>
    <x v="2"/>
    <x v="34"/>
  </r>
  <r>
    <x v="2"/>
    <x v="35"/>
  </r>
  <r>
    <x v="2"/>
    <x v="36"/>
  </r>
  <r>
    <x v="2"/>
    <x v="37"/>
  </r>
  <r>
    <x v="2"/>
    <x v="38"/>
  </r>
  <r>
    <x v="2"/>
    <x v="39"/>
  </r>
  <r>
    <x v="2"/>
    <x v="40"/>
  </r>
  <r>
    <x v="2"/>
    <x v="41"/>
  </r>
  <r>
    <x v="2"/>
    <x v="42"/>
  </r>
  <r>
    <x v="2"/>
    <x v="43"/>
  </r>
  <r>
    <x v="2"/>
    <x v="44"/>
  </r>
  <r>
    <x v="2"/>
    <x v="42"/>
  </r>
  <r>
    <x v="2"/>
    <x v="45"/>
  </r>
  <r>
    <x v="2"/>
    <x v="46"/>
  </r>
  <r>
    <x v="2"/>
    <x v="47"/>
  </r>
  <r>
    <x v="2"/>
    <x v="48"/>
  </r>
  <r>
    <x v="2"/>
    <x v="49"/>
  </r>
  <r>
    <x v="2"/>
    <x v="50"/>
  </r>
  <r>
    <x v="2"/>
    <x v="50"/>
  </r>
  <r>
    <x v="2"/>
    <x v="51"/>
  </r>
  <r>
    <x v="2"/>
    <x v="52"/>
  </r>
  <r>
    <x v="2"/>
    <x v="53"/>
  </r>
  <r>
    <x v="2"/>
    <x v="54"/>
  </r>
  <r>
    <x v="2"/>
    <x v="35"/>
  </r>
  <r>
    <x v="3"/>
    <x v="0"/>
  </r>
  <r>
    <x v="3"/>
    <x v="0"/>
  </r>
  <r>
    <x v="3"/>
    <x v="0"/>
  </r>
  <r>
    <x v="3"/>
    <x v="55"/>
  </r>
  <r>
    <x v="3"/>
    <x v="55"/>
  </r>
  <r>
    <x v="3"/>
    <x v="0"/>
  </r>
  <r>
    <x v="3"/>
    <x v="0"/>
  </r>
  <r>
    <x v="3"/>
    <x v="0"/>
  </r>
  <r>
    <x v="3"/>
    <x v="0"/>
  </r>
  <r>
    <x v="3"/>
    <x v="0"/>
  </r>
  <r>
    <x v="3"/>
    <x v="0"/>
  </r>
  <r>
    <x v="3"/>
    <x v="0"/>
  </r>
  <r>
    <x v="3"/>
    <x v="0"/>
  </r>
  <r>
    <x v="3"/>
    <x v="0"/>
  </r>
  <r>
    <x v="3"/>
    <x v="0"/>
  </r>
  <r>
    <x v="3"/>
    <x v="0"/>
  </r>
  <r>
    <x v="3"/>
    <x v="0"/>
  </r>
  <r>
    <x v="3"/>
    <x v="0"/>
  </r>
  <r>
    <x v="3"/>
    <x v="55"/>
  </r>
  <r>
    <x v="3"/>
    <x v="55"/>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4"/>
    <x v="56"/>
  </r>
  <r>
    <x v="4"/>
    <x v="57"/>
  </r>
  <r>
    <x v="4"/>
    <x v="58"/>
  </r>
  <r>
    <x v="4"/>
    <x v="59"/>
  </r>
  <r>
    <x v="4"/>
    <x v="60"/>
  </r>
  <r>
    <x v="5"/>
    <x v="61"/>
  </r>
  <r>
    <x v="5"/>
    <x v="61"/>
  </r>
  <r>
    <x v="5"/>
    <x v="62"/>
  </r>
  <r>
    <x v="6"/>
    <x v="63"/>
  </r>
  <r>
    <x v="6"/>
    <x v="64"/>
  </r>
  <r>
    <x v="6"/>
    <x v="1"/>
  </r>
  <r>
    <x v="6"/>
    <x v="65"/>
  </r>
  <r>
    <x v="6"/>
    <x v="65"/>
  </r>
  <r>
    <x v="6"/>
    <x v="66"/>
  </r>
  <r>
    <x v="6"/>
    <x v="67"/>
  </r>
  <r>
    <x v="6"/>
    <x v="68"/>
  </r>
  <r>
    <x v="6"/>
    <x v="69"/>
  </r>
  <r>
    <x v="6"/>
    <x v="70"/>
  </r>
  <r>
    <x v="6"/>
    <x v="71"/>
  </r>
  <r>
    <x v="6"/>
    <x v="72"/>
  </r>
  <r>
    <x v="6"/>
    <x v="73"/>
  </r>
  <r>
    <x v="6"/>
    <x v="74"/>
  </r>
  <r>
    <x v="6"/>
    <x v="75"/>
  </r>
  <r>
    <x v="6"/>
    <x v="76"/>
  </r>
  <r>
    <x v="6"/>
    <x v="77"/>
  </r>
  <r>
    <x v="7"/>
    <x v="78"/>
  </r>
  <r>
    <x v="7"/>
    <x v="79"/>
  </r>
  <r>
    <x v="7"/>
    <x v="80"/>
  </r>
  <r>
    <x v="8"/>
    <x v="81"/>
  </r>
  <r>
    <x v="8"/>
    <x v="82"/>
  </r>
  <r>
    <x v="8"/>
    <x v="83"/>
  </r>
  <r>
    <x v="8"/>
    <x v="84"/>
  </r>
  <r>
    <x v="8"/>
    <x v="85"/>
  </r>
  <r>
    <x v="8"/>
    <x v="86"/>
  </r>
  <r>
    <x v="8"/>
    <x v="87"/>
  </r>
  <r>
    <x v="8"/>
    <x v="0"/>
  </r>
  <r>
    <x v="8"/>
    <x v="88"/>
  </r>
  <r>
    <x v="8"/>
    <x v="57"/>
  </r>
  <r>
    <x v="8"/>
    <x v="57"/>
  </r>
  <r>
    <x v="8"/>
    <x v="89"/>
  </r>
  <r>
    <x v="8"/>
    <x v="90"/>
  </r>
  <r>
    <x v="8"/>
    <x v="86"/>
  </r>
  <r>
    <x v="8"/>
    <x v="91"/>
  </r>
  <r>
    <x v="8"/>
    <x v="92"/>
  </r>
  <r>
    <x v="8"/>
    <x v="93"/>
  </r>
  <r>
    <x v="8"/>
    <x v="94"/>
  </r>
  <r>
    <x v="8"/>
    <x v="95"/>
  </r>
  <r>
    <x v="8"/>
    <x v="96"/>
  </r>
  <r>
    <x v="8"/>
    <x v="97"/>
  </r>
  <r>
    <x v="8"/>
    <x v="62"/>
  </r>
  <r>
    <x v="8"/>
    <x v="98"/>
  </r>
  <r>
    <x v="8"/>
    <x v="99"/>
  </r>
  <r>
    <x v="8"/>
    <x v="100"/>
  </r>
  <r>
    <x v="8"/>
    <x v="101"/>
  </r>
  <r>
    <x v="8"/>
    <x v="102"/>
  </r>
  <r>
    <x v="8"/>
    <x v="103"/>
  </r>
  <r>
    <x v="8"/>
    <x v="104"/>
  </r>
  <r>
    <x v="8"/>
    <x v="105"/>
  </r>
  <r>
    <x v="9"/>
    <x v="106"/>
  </r>
  <r>
    <x v="9"/>
    <x v="107"/>
  </r>
  <r>
    <x v="9"/>
    <x v="108"/>
  </r>
  <r>
    <x v="9"/>
    <x v="109"/>
  </r>
  <r>
    <x v="9"/>
    <x v="110"/>
  </r>
  <r>
    <x v="9"/>
    <x v="111"/>
  </r>
  <r>
    <x v="10"/>
    <x v="112"/>
  </r>
  <r>
    <x v="10"/>
    <x v="113"/>
  </r>
  <r>
    <x v="10"/>
    <x v="114"/>
  </r>
  <r>
    <x v="10"/>
    <x v="115"/>
  </r>
  <r>
    <x v="10"/>
    <x v="116"/>
  </r>
  <r>
    <x v="10"/>
    <x v="117"/>
  </r>
  <r>
    <x v="10"/>
    <x v="118"/>
  </r>
  <r>
    <x v="10"/>
    <x v="119"/>
  </r>
  <r>
    <x v="10"/>
    <x v="120"/>
  </r>
  <r>
    <x v="10"/>
    <x v="121"/>
  </r>
  <r>
    <x v="10"/>
    <x v="122"/>
  </r>
  <r>
    <x v="10"/>
    <x v="123"/>
  </r>
  <r>
    <x v="10"/>
    <x v="124"/>
  </r>
  <r>
    <x v="10"/>
    <x v="125"/>
  </r>
  <r>
    <x v="10"/>
    <x v="126"/>
  </r>
  <r>
    <x v="10"/>
    <x v="127"/>
  </r>
  <r>
    <x v="10"/>
    <x v="128"/>
  </r>
  <r>
    <x v="10"/>
    <x v="129"/>
  </r>
  <r>
    <x v="10"/>
    <x v="130"/>
  </r>
  <r>
    <x v="10"/>
    <x v="131"/>
  </r>
  <r>
    <x v="10"/>
    <x v="132"/>
  </r>
  <r>
    <x v="10"/>
    <x v="133"/>
  </r>
  <r>
    <x v="10"/>
    <x v="133"/>
  </r>
  <r>
    <x v="10"/>
    <x v="134"/>
  </r>
  <r>
    <x v="10"/>
    <x v="135"/>
  </r>
  <r>
    <x v="10"/>
    <x v="136"/>
  </r>
  <r>
    <x v="10"/>
    <x v="137"/>
  </r>
  <r>
    <x v="10"/>
    <x v="138"/>
  </r>
  <r>
    <x v="10"/>
    <x v="139"/>
  </r>
  <r>
    <x v="11"/>
    <x v="140"/>
  </r>
  <r>
    <x v="11"/>
    <x v="141"/>
  </r>
  <r>
    <x v="11"/>
    <x v="142"/>
  </r>
  <r>
    <x v="11"/>
    <x v="143"/>
  </r>
  <r>
    <x v="11"/>
    <x v="144"/>
  </r>
  <r>
    <x v="11"/>
    <x v="145"/>
  </r>
  <r>
    <x v="11"/>
    <x v="61"/>
  </r>
  <r>
    <x v="11"/>
    <x v="146"/>
  </r>
  <r>
    <x v="11"/>
    <x v="147"/>
  </r>
  <r>
    <x v="11"/>
    <x v="148"/>
  </r>
  <r>
    <x v="12"/>
    <x v="149"/>
  </r>
  <r>
    <x v="13"/>
    <x v="150"/>
  </r>
  <r>
    <x v="13"/>
    <x v="151"/>
  </r>
  <r>
    <x v="13"/>
    <x v="16"/>
  </r>
  <r>
    <x v="13"/>
    <x v="4"/>
  </r>
  <r>
    <x v="13"/>
    <x v="152"/>
  </r>
  <r>
    <x v="13"/>
    <x v="153"/>
  </r>
  <r>
    <x v="13"/>
    <x v="154"/>
  </r>
  <r>
    <x v="13"/>
    <x v="155"/>
  </r>
  <r>
    <x v="13"/>
    <x v="156"/>
  </r>
  <r>
    <x v="13"/>
    <x v="157"/>
  </r>
  <r>
    <x v="13"/>
    <x v="158"/>
  </r>
  <r>
    <x v="13"/>
    <x v="159"/>
  </r>
  <r>
    <x v="13"/>
    <x v="160"/>
  </r>
  <r>
    <x v="14"/>
    <x v="161"/>
  </r>
  <r>
    <x v="14"/>
    <x v="162"/>
  </r>
  <r>
    <x v="14"/>
    <x v="163"/>
  </r>
  <r>
    <x v="14"/>
    <x v="164"/>
  </r>
  <r>
    <x v="14"/>
    <x v="165"/>
  </r>
  <r>
    <x v="14"/>
    <x v="166"/>
  </r>
  <r>
    <x v="14"/>
    <x v="167"/>
  </r>
  <r>
    <x v="15"/>
    <x v="168"/>
  </r>
  <r>
    <x v="15"/>
    <x v="169"/>
  </r>
  <r>
    <x v="15"/>
    <x v="170"/>
  </r>
  <r>
    <x v="15"/>
    <x v="171"/>
  </r>
  <r>
    <x v="15"/>
    <x v="172"/>
  </r>
  <r>
    <x v="15"/>
    <x v="153"/>
  </r>
  <r>
    <x v="15"/>
    <x v="173"/>
  </r>
  <r>
    <x v="15"/>
    <x v="174"/>
  </r>
  <r>
    <x v="15"/>
    <x v="175"/>
  </r>
  <r>
    <x v="15"/>
    <x v="176"/>
  </r>
  <r>
    <x v="15"/>
    <x v="177"/>
  </r>
  <r>
    <x v="15"/>
    <x v="178"/>
  </r>
  <r>
    <x v="15"/>
    <x v="179"/>
  </r>
  <r>
    <x v="15"/>
    <x v="180"/>
  </r>
  <r>
    <x v="15"/>
    <x v="181"/>
  </r>
  <r>
    <x v="16"/>
    <x v="182"/>
  </r>
  <r>
    <x v="16"/>
    <x v="183"/>
  </r>
  <r>
    <x v="16"/>
    <x v="184"/>
  </r>
  <r>
    <x v="16"/>
    <x v="185"/>
  </r>
  <r>
    <x v="16"/>
    <x v="186"/>
  </r>
  <r>
    <x v="16"/>
    <x v="166"/>
  </r>
  <r>
    <x v="16"/>
    <x v="153"/>
  </r>
  <r>
    <x v="16"/>
    <x v="187"/>
  </r>
  <r>
    <x v="16"/>
    <x v="188"/>
  </r>
  <r>
    <x v="16"/>
    <x v="189"/>
  </r>
  <r>
    <x v="16"/>
    <x v="190"/>
  </r>
  <r>
    <x v="17"/>
    <x v="4"/>
  </r>
  <r>
    <x v="18"/>
    <x v="1"/>
  </r>
  <r>
    <x v="18"/>
    <x v="0"/>
  </r>
  <r>
    <x v="18"/>
    <x v="5"/>
  </r>
  <r>
    <x v="19"/>
    <x v="191"/>
  </r>
  <r>
    <x v="19"/>
    <x v="192"/>
  </r>
  <r>
    <x v="20"/>
    <x v="1"/>
  </r>
  <r>
    <x v="21"/>
    <x v="0"/>
  </r>
  <r>
    <x v="21"/>
    <x v="1"/>
  </r>
  <r>
    <x v="21"/>
    <x v="0"/>
  </r>
  <r>
    <x v="22"/>
    <x v="0"/>
  </r>
  <r>
    <x v="23"/>
    <x v="0"/>
  </r>
  <r>
    <x v="24"/>
    <x v="0"/>
  </r>
  <r>
    <x v="24"/>
    <x v="0"/>
  </r>
  <r>
    <x v="24"/>
    <x v="0"/>
  </r>
  <r>
    <x v="24"/>
    <x v="0"/>
  </r>
  <r>
    <x v="24"/>
    <x v="0"/>
  </r>
  <r>
    <x v="24"/>
    <x v="0"/>
  </r>
  <r>
    <x v="24"/>
    <x v="0"/>
  </r>
  <r>
    <x v="24"/>
    <x v="0"/>
  </r>
  <r>
    <x v="24"/>
    <x v="0"/>
  </r>
  <r>
    <x v="24"/>
    <x v="0"/>
  </r>
  <r>
    <x v="24"/>
    <x v="0"/>
  </r>
  <r>
    <x v="24"/>
    <x v="0"/>
  </r>
  <r>
    <x v="24"/>
    <x v="0"/>
  </r>
  <r>
    <x v="24"/>
    <x v="0"/>
  </r>
  <r>
    <x v="24"/>
    <x v="0"/>
  </r>
  <r>
    <x v="25"/>
    <x v="0"/>
  </r>
  <r>
    <x v="25"/>
    <x v="0"/>
  </r>
  <r>
    <x v="25"/>
    <x v="0"/>
  </r>
  <r>
    <x v="26"/>
    <x v="193"/>
  </r>
  <r>
    <x v="27"/>
    <x v="133"/>
  </r>
  <r>
    <x v="27"/>
    <x v="57"/>
  </r>
  <r>
    <x v="27"/>
    <x v="194"/>
  </r>
  <r>
    <x v="27"/>
    <x v="107"/>
  </r>
  <r>
    <x v="27"/>
    <x v="108"/>
  </r>
  <r>
    <x v="27"/>
    <x v="109"/>
  </r>
  <r>
    <x v="28"/>
    <x v="195"/>
  </r>
  <r>
    <x v="28"/>
    <x v="195"/>
  </r>
  <r>
    <x v="28"/>
    <x v="196"/>
  </r>
  <r>
    <x v="28"/>
    <x v="197"/>
  </r>
  <r>
    <x v="28"/>
    <x v="14"/>
  </r>
  <r>
    <x v="28"/>
    <x v="198"/>
  </r>
  <r>
    <x v="28"/>
    <x v="199"/>
  </r>
  <r>
    <x v="29"/>
    <x v="0"/>
  </r>
  <r>
    <x v="29"/>
    <x v="0"/>
  </r>
  <r>
    <x v="29"/>
    <x v="0"/>
  </r>
  <r>
    <x v="29"/>
    <x v="0"/>
  </r>
  <r>
    <x v="29"/>
    <x v="0"/>
  </r>
  <r>
    <x v="29"/>
    <x v="0"/>
  </r>
  <r>
    <x v="29"/>
    <x v="0"/>
  </r>
  <r>
    <x v="29"/>
    <x v="0"/>
  </r>
  <r>
    <x v="29"/>
    <x v="0"/>
  </r>
  <r>
    <x v="29"/>
    <x v="0"/>
  </r>
  <r>
    <x v="29"/>
    <x v="0"/>
  </r>
  <r>
    <x v="30"/>
    <x v="0"/>
  </r>
  <r>
    <x v="30"/>
    <x v="0"/>
  </r>
  <r>
    <x v="30"/>
    <x v="0"/>
  </r>
  <r>
    <x v="31"/>
    <x v="0"/>
  </r>
  <r>
    <x v="31"/>
    <x v="0"/>
  </r>
  <r>
    <x v="31"/>
    <x v="1"/>
  </r>
  <r>
    <x v="31"/>
    <x v="0"/>
  </r>
  <r>
    <x v="31"/>
    <x v="1"/>
  </r>
  <r>
    <x v="31"/>
    <x v="0"/>
  </r>
  <r>
    <x v="31"/>
    <x v="0"/>
  </r>
  <r>
    <x v="31"/>
    <x v="0"/>
  </r>
  <r>
    <x v="32"/>
    <x v="0"/>
  </r>
  <r>
    <x v="32"/>
    <x v="0"/>
  </r>
  <r>
    <x v="32"/>
    <x v="1"/>
  </r>
  <r>
    <x v="32"/>
    <x v="0"/>
  </r>
  <r>
    <x v="32"/>
    <x v="0"/>
  </r>
  <r>
    <x v="32"/>
    <x v="0"/>
  </r>
  <r>
    <x v="32"/>
    <x v="0"/>
  </r>
  <r>
    <x v="32"/>
    <x v="0"/>
  </r>
  <r>
    <x v="32"/>
    <x v="0"/>
  </r>
  <r>
    <x v="32"/>
    <x v="0"/>
  </r>
  <r>
    <x v="33"/>
    <x v="5"/>
  </r>
  <r>
    <x v="33"/>
    <x v="1"/>
  </r>
  <r>
    <x v="33"/>
    <x v="1"/>
  </r>
  <r>
    <x v="33"/>
    <x v="1"/>
  </r>
  <r>
    <x v="33"/>
    <x v="55"/>
  </r>
  <r>
    <x v="33"/>
    <x v="1"/>
  </r>
  <r>
    <x v="33"/>
    <x v="1"/>
  </r>
  <r>
    <x v="33"/>
    <x v="200"/>
  </r>
  <r>
    <x v="33"/>
    <x v="1"/>
  </r>
  <r>
    <x v="33"/>
    <x v="5"/>
  </r>
  <r>
    <x v="33"/>
    <x v="201"/>
  </r>
  <r>
    <x v="34"/>
    <x v="202"/>
  </r>
  <r>
    <x v="34"/>
    <x v="203"/>
  </r>
  <r>
    <x v="34"/>
    <x v="204"/>
  </r>
  <r>
    <x v="35"/>
    <x v="0"/>
  </r>
  <r>
    <x v="35"/>
    <x v="0"/>
  </r>
  <r>
    <x v="35"/>
    <x v="0"/>
  </r>
  <r>
    <x v="36"/>
    <x v="0"/>
  </r>
  <r>
    <x v="36"/>
    <x v="0"/>
  </r>
  <r>
    <x v="37"/>
    <x v="1"/>
  </r>
  <r>
    <x v="38"/>
    <x v="205"/>
  </r>
  <r>
    <x v="38"/>
    <x v="206"/>
  </r>
  <r>
    <x v="38"/>
    <x v="0"/>
  </r>
  <r>
    <x v="38"/>
    <x v="207"/>
  </r>
  <r>
    <x v="38"/>
    <x v="208"/>
  </r>
  <r>
    <x v="38"/>
    <x v="209"/>
  </r>
  <r>
    <x v="38"/>
    <x v="210"/>
  </r>
  <r>
    <x v="38"/>
    <x v="78"/>
  </r>
  <r>
    <x v="38"/>
    <x v="211"/>
  </r>
  <r>
    <x v="38"/>
    <x v="1"/>
  </r>
  <r>
    <x v="39"/>
    <x v="212"/>
  </r>
  <r>
    <x v="39"/>
    <x v="213"/>
  </r>
  <r>
    <x v="40"/>
    <x v="214"/>
  </r>
  <r>
    <x v="40"/>
    <x v="5"/>
  </r>
  <r>
    <x v="41"/>
    <x v="55"/>
  </r>
  <r>
    <x v="41"/>
    <x v="1"/>
  </r>
  <r>
    <x v="41"/>
    <x v="215"/>
  </r>
  <r>
    <x v="42"/>
    <x v="216"/>
  </r>
  <r>
    <x v="42"/>
    <x v="217"/>
  </r>
  <r>
    <x v="42"/>
    <x v="218"/>
  </r>
  <r>
    <x v="43"/>
    <x v="219"/>
  </r>
  <r>
    <x v="43"/>
    <x v="220"/>
  </r>
  <r>
    <x v="43"/>
    <x v="221"/>
  </r>
  <r>
    <x v="43"/>
    <x v="222"/>
  </r>
  <r>
    <x v="43"/>
    <x v="223"/>
  </r>
  <r>
    <x v="43"/>
    <x v="224"/>
  </r>
  <r>
    <x v="43"/>
    <x v="225"/>
  </r>
  <r>
    <x v="44"/>
    <x v="226"/>
  </r>
  <r>
    <x v="44"/>
    <x v="227"/>
  </r>
  <r>
    <x v="44"/>
    <x v="228"/>
  </r>
  <r>
    <x v="44"/>
    <x v="229"/>
  </r>
  <r>
    <x v="44"/>
    <x v="230"/>
  </r>
  <r>
    <x v="44"/>
    <x v="63"/>
  </r>
  <r>
    <x v="44"/>
    <x v="231"/>
  </r>
  <r>
    <x v="44"/>
    <x v="232"/>
  </r>
  <r>
    <x v="45"/>
    <x v="0"/>
  </r>
  <r>
    <x v="45"/>
    <x v="0"/>
  </r>
  <r>
    <x v="45"/>
    <x v="0"/>
  </r>
  <r>
    <x v="45"/>
    <x v="0"/>
  </r>
  <r>
    <x v="45"/>
    <x v="0"/>
  </r>
  <r>
    <x v="46"/>
    <x v="0"/>
  </r>
  <r>
    <x v="46"/>
    <x v="0"/>
  </r>
  <r>
    <x v="47"/>
    <x v="0"/>
  </r>
  <r>
    <x v="48"/>
    <x v="0"/>
  </r>
  <r>
    <x v="48"/>
    <x v="0"/>
  </r>
  <r>
    <x v="48"/>
    <x v="0"/>
  </r>
  <r>
    <x v="48"/>
    <x v="0"/>
  </r>
  <r>
    <x v="48"/>
    <x v="0"/>
  </r>
  <r>
    <x v="49"/>
    <x v="233"/>
  </r>
  <r>
    <x v="50"/>
    <x v="0"/>
  </r>
  <r>
    <x v="50"/>
    <x v="55"/>
  </r>
  <r>
    <x v="50"/>
    <x v="0"/>
  </r>
  <r>
    <x v="50"/>
    <x v="0"/>
  </r>
  <r>
    <x v="50"/>
    <x v="0"/>
  </r>
  <r>
    <x v="50"/>
    <x v="0"/>
  </r>
  <r>
    <x v="50"/>
    <x v="0"/>
  </r>
  <r>
    <x v="50"/>
    <x v="0"/>
  </r>
  <r>
    <x v="50"/>
    <x v="234"/>
  </r>
  <r>
    <x v="50"/>
    <x v="0"/>
  </r>
  <r>
    <x v="50"/>
    <x v="0"/>
  </r>
  <r>
    <x v="50"/>
    <x v="0"/>
  </r>
  <r>
    <x v="50"/>
    <x v="2"/>
  </r>
  <r>
    <x v="50"/>
    <x v="0"/>
  </r>
  <r>
    <x v="50"/>
    <x v="0"/>
  </r>
  <r>
    <x v="50"/>
    <x v="0"/>
  </r>
  <r>
    <x v="50"/>
    <x v="0"/>
  </r>
  <r>
    <x v="51"/>
    <x v="0"/>
  </r>
  <r>
    <x v="51"/>
    <x v="0"/>
  </r>
  <r>
    <x v="51"/>
    <x v="0"/>
  </r>
  <r>
    <x v="51"/>
    <x v="0"/>
  </r>
  <r>
    <x v="51"/>
    <x v="0"/>
  </r>
  <r>
    <x v="51"/>
    <x v="0"/>
  </r>
  <r>
    <x v="51"/>
    <x v="0"/>
  </r>
  <r>
    <x v="51"/>
    <x v="0"/>
  </r>
  <r>
    <x v="51"/>
    <x v="0"/>
  </r>
  <r>
    <x v="52"/>
    <x v="235"/>
  </r>
  <r>
    <x v="52"/>
    <x v="236"/>
  </r>
  <r>
    <x v="52"/>
    <x v="237"/>
  </r>
  <r>
    <x v="52"/>
    <x v="5"/>
  </r>
  <r>
    <x v="52"/>
    <x v="238"/>
  </r>
  <r>
    <x v="52"/>
    <x v="239"/>
  </r>
  <r>
    <x v="52"/>
    <x v="240"/>
  </r>
  <r>
    <x v="52"/>
    <x v="241"/>
  </r>
  <r>
    <x v="53"/>
    <x v="0"/>
  </r>
  <r>
    <x v="53"/>
    <x v="0"/>
  </r>
  <r>
    <x v="54"/>
    <x v="242"/>
  </r>
  <r>
    <x v="54"/>
    <x v="243"/>
  </r>
  <r>
    <x v="54"/>
    <x v="244"/>
  </r>
  <r>
    <x v="54"/>
    <x v="245"/>
  </r>
  <r>
    <x v="54"/>
    <x v="246"/>
  </r>
  <r>
    <x v="54"/>
    <x v="247"/>
  </r>
  <r>
    <x v="54"/>
    <x v="248"/>
  </r>
  <r>
    <x v="54"/>
    <x v="249"/>
  </r>
  <r>
    <x v="54"/>
    <x v="250"/>
  </r>
  <r>
    <x v="54"/>
    <x v="251"/>
  </r>
  <r>
    <x v="55"/>
    <x v="252"/>
  </r>
  <r>
    <x v="55"/>
    <x v="152"/>
  </r>
  <r>
    <x v="55"/>
    <x v="152"/>
  </r>
  <r>
    <x v="56"/>
    <x v="253"/>
  </r>
  <r>
    <x v="56"/>
    <x v="254"/>
  </r>
  <r>
    <x v="56"/>
    <x v="255"/>
  </r>
  <r>
    <x v="56"/>
    <x v="256"/>
  </r>
  <r>
    <x v="56"/>
    <x v="255"/>
  </r>
  <r>
    <x v="56"/>
    <x v="62"/>
  </r>
  <r>
    <x v="56"/>
    <x v="56"/>
  </r>
  <r>
    <x v="56"/>
    <x v="257"/>
  </r>
  <r>
    <x v="57"/>
    <x v="0"/>
  </r>
  <r>
    <x v="57"/>
    <x v="1"/>
  </r>
  <r>
    <x v="57"/>
    <x v="0"/>
  </r>
  <r>
    <x v="57"/>
    <x v="0"/>
  </r>
  <r>
    <x v="57"/>
    <x v="0"/>
  </r>
  <r>
    <x v="57"/>
    <x v="1"/>
  </r>
  <r>
    <x v="57"/>
    <x v="258"/>
  </r>
  <r>
    <x v="58"/>
    <x v="146"/>
  </r>
  <r>
    <x v="58"/>
    <x v="259"/>
  </r>
  <r>
    <x v="58"/>
    <x v="260"/>
  </r>
  <r>
    <x v="58"/>
    <x v="215"/>
  </r>
  <r>
    <x v="58"/>
    <x v="237"/>
  </r>
  <r>
    <x v="58"/>
    <x v="90"/>
  </r>
  <r>
    <x v="58"/>
    <x v="152"/>
  </r>
  <r>
    <x v="58"/>
    <x v="261"/>
  </r>
  <r>
    <x v="58"/>
    <x v="90"/>
  </r>
  <r>
    <x v="58"/>
    <x v="262"/>
  </r>
  <r>
    <x v="58"/>
    <x v="263"/>
  </r>
  <r>
    <x v="59"/>
    <x v="1"/>
  </r>
  <r>
    <x v="59"/>
    <x v="1"/>
  </r>
  <r>
    <x v="59"/>
    <x v="0"/>
  </r>
  <r>
    <x v="59"/>
    <x v="1"/>
  </r>
  <r>
    <x v="59"/>
    <x v="236"/>
  </r>
  <r>
    <x v="60"/>
    <x v="238"/>
  </r>
  <r>
    <x v="60"/>
    <x v="264"/>
  </r>
  <r>
    <x v="60"/>
    <x v="260"/>
  </r>
  <r>
    <x v="60"/>
    <x v="238"/>
  </r>
  <r>
    <x v="60"/>
    <x v="265"/>
  </r>
  <r>
    <x v="61"/>
    <x v="266"/>
  </r>
  <r>
    <x v="61"/>
    <x v="267"/>
  </r>
  <r>
    <x v="61"/>
    <x v="4"/>
  </r>
  <r>
    <x v="61"/>
    <x v="268"/>
  </r>
  <r>
    <x v="61"/>
    <x v="1"/>
  </r>
  <r>
    <x v="61"/>
    <x v="4"/>
  </r>
  <r>
    <x v="61"/>
    <x v="269"/>
  </r>
  <r>
    <x v="61"/>
    <x v="270"/>
  </r>
  <r>
    <x v="62"/>
    <x v="271"/>
  </r>
  <r>
    <x v="62"/>
    <x v="272"/>
  </r>
  <r>
    <x v="62"/>
    <x v="240"/>
  </r>
  <r>
    <x v="62"/>
    <x v="197"/>
  </r>
  <r>
    <x v="62"/>
    <x v="273"/>
  </r>
  <r>
    <x v="62"/>
    <x v="274"/>
  </r>
  <r>
    <x v="62"/>
    <x v="214"/>
  </r>
  <r>
    <x v="62"/>
    <x v="240"/>
  </r>
  <r>
    <x v="62"/>
    <x v="275"/>
  </r>
  <r>
    <x v="63"/>
    <x v="265"/>
  </r>
  <r>
    <x v="63"/>
    <x v="276"/>
  </r>
  <r>
    <x v="63"/>
    <x v="260"/>
  </r>
  <r>
    <x v="63"/>
    <x v="240"/>
  </r>
  <r>
    <x v="63"/>
    <x v="238"/>
  </r>
  <r>
    <x v="63"/>
    <x v="94"/>
  </r>
  <r>
    <x v="63"/>
    <x v="201"/>
  </r>
  <r>
    <x v="63"/>
    <x v="260"/>
  </r>
  <r>
    <x v="63"/>
    <x v="90"/>
  </r>
  <r>
    <x v="64"/>
    <x v="277"/>
  </r>
  <r>
    <x v="64"/>
    <x v="278"/>
  </r>
  <r>
    <x v="64"/>
    <x v="193"/>
  </r>
  <r>
    <x v="64"/>
    <x v="279"/>
  </r>
  <r>
    <x v="64"/>
    <x v="280"/>
  </r>
  <r>
    <x v="64"/>
    <x v="281"/>
  </r>
  <r>
    <x v="64"/>
    <x v="282"/>
  </r>
  <r>
    <x v="64"/>
    <x v="283"/>
  </r>
  <r>
    <x v="64"/>
    <x v="284"/>
  </r>
  <r>
    <x v="64"/>
    <x v="285"/>
  </r>
  <r>
    <x v="64"/>
    <x v="286"/>
  </r>
  <r>
    <x v="64"/>
    <x v="287"/>
  </r>
  <r>
    <x v="64"/>
    <x v="288"/>
  </r>
  <r>
    <x v="64"/>
    <x v="289"/>
  </r>
  <r>
    <x v="64"/>
    <x v="290"/>
  </r>
  <r>
    <x v="65"/>
    <x v="0"/>
  </r>
  <r>
    <x v="65"/>
    <x v="0"/>
  </r>
  <r>
    <x v="66"/>
    <x v="0"/>
  </r>
  <r>
    <x v="67"/>
    <x v="0"/>
  </r>
  <r>
    <x v="68"/>
    <x v="0"/>
  </r>
  <r>
    <x v="69"/>
    <x v="0"/>
  </r>
  <r>
    <x v="7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Reikšmės" updatedVersion="5" minRefreshableVersion="3" useAutoFormatting="1" itemPrintTitles="1" createdVersion="5" indent="0" outline="1" outlineData="1" multipleFieldFilters="0">
  <location ref="R3:S75" firstHeaderRow="1" firstDataRow="1" firstDataCol="1"/>
  <pivotFields count="2">
    <pivotField axis="axisRow" showAll="0">
      <items count="7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t="default"/>
      </items>
    </pivotField>
    <pivotField dataField="1" showAll="0">
      <items count="292">
        <item x="152"/>
        <item x="278"/>
        <item x="283"/>
        <item x="282"/>
        <item x="289"/>
        <item x="286"/>
        <item x="285"/>
        <item x="287"/>
        <item x="288"/>
        <item x="279"/>
        <item x="290"/>
        <item x="277"/>
        <item x="284"/>
        <item x="79"/>
        <item x="80"/>
        <item x="281"/>
        <item x="76"/>
        <item x="72"/>
        <item x="205"/>
        <item x="75"/>
        <item x="67"/>
        <item x="280"/>
        <item x="78"/>
        <item x="71"/>
        <item x="213"/>
        <item x="69"/>
        <item x="193"/>
        <item x="66"/>
        <item x="63"/>
        <item x="70"/>
        <item x="207"/>
        <item x="206"/>
        <item x="0"/>
        <item x="77"/>
        <item x="212"/>
        <item x="73"/>
        <item x="211"/>
        <item x="74"/>
        <item x="267"/>
        <item x="1"/>
        <item x="208"/>
        <item x="270"/>
        <item x="64"/>
        <item x="5"/>
        <item x="266"/>
        <item x="65"/>
        <item x="55"/>
        <item x="209"/>
        <item x="232"/>
        <item x="269"/>
        <item x="4"/>
        <item x="200"/>
        <item x="210"/>
        <item x="228"/>
        <item x="2"/>
        <item x="231"/>
        <item x="230"/>
        <item x="201"/>
        <item x="227"/>
        <item x="233"/>
        <item x="68"/>
        <item x="229"/>
        <item x="214"/>
        <item x="235"/>
        <item x="3"/>
        <item x="146"/>
        <item x="234"/>
        <item x="239"/>
        <item x="236"/>
        <item x="90"/>
        <item x="265"/>
        <item x="215"/>
        <item x="260"/>
        <item x="195"/>
        <item x="226"/>
        <item x="191"/>
        <item x="238"/>
        <item x="271"/>
        <item x="263"/>
        <item x="259"/>
        <item x="192"/>
        <item x="240"/>
        <item x="196"/>
        <item x="273"/>
        <item x="9"/>
        <item x="94"/>
        <item x="170"/>
        <item x="199"/>
        <item x="155"/>
        <item x="261"/>
        <item x="275"/>
        <item x="197"/>
        <item x="26"/>
        <item x="198"/>
        <item x="264"/>
        <item x="274"/>
        <item x="147"/>
        <item x="276"/>
        <item x="237"/>
        <item x="43"/>
        <item x="149"/>
        <item x="95"/>
        <item x="162"/>
        <item x="171"/>
        <item x="262"/>
        <item x="168"/>
        <item x="174"/>
        <item x="272"/>
        <item x="268"/>
        <item x="45"/>
        <item x="156"/>
        <item x="25"/>
        <item x="102"/>
        <item x="144"/>
        <item x="42"/>
        <item x="41"/>
        <item x="151"/>
        <item x="44"/>
        <item x="161"/>
        <item x="241"/>
        <item x="14"/>
        <item x="86"/>
        <item x="91"/>
        <item x="93"/>
        <item x="57"/>
        <item x="101"/>
        <item x="89"/>
        <item x="217"/>
        <item x="185"/>
        <item x="40"/>
        <item x="6"/>
        <item x="103"/>
        <item x="84"/>
        <item x="53"/>
        <item x="252"/>
        <item x="17"/>
        <item x="54"/>
        <item x="49"/>
        <item x="203"/>
        <item x="39"/>
        <item x="188"/>
        <item x="172"/>
        <item x="83"/>
        <item x="87"/>
        <item x="216"/>
        <item x="154"/>
        <item x="158"/>
        <item x="19"/>
        <item x="150"/>
        <item x="56"/>
        <item x="202"/>
        <item x="21"/>
        <item x="166"/>
        <item x="18"/>
        <item x="22"/>
        <item x="20"/>
        <item x="173"/>
        <item x="189"/>
        <item x="187"/>
        <item x="183"/>
        <item x="82"/>
        <item x="175"/>
        <item x="97"/>
        <item x="7"/>
        <item x="143"/>
        <item x="85"/>
        <item x="46"/>
        <item x="186"/>
        <item x="88"/>
        <item x="177"/>
        <item x="15"/>
        <item x="98"/>
        <item x="178"/>
        <item x="12"/>
        <item x="13"/>
        <item x="218"/>
        <item x="24"/>
        <item x="23"/>
        <item x="31"/>
        <item x="142"/>
        <item x="99"/>
        <item x="8"/>
        <item x="157"/>
        <item x="138"/>
        <item x="204"/>
        <item x="159"/>
        <item x="35"/>
        <item x="104"/>
        <item x="176"/>
        <item x="10"/>
        <item x="153"/>
        <item x="50"/>
        <item x="38"/>
        <item x="96"/>
        <item x="81"/>
        <item x="169"/>
        <item x="52"/>
        <item x="148"/>
        <item x="34"/>
        <item x="62"/>
        <item x="11"/>
        <item x="30"/>
        <item x="37"/>
        <item x="27"/>
        <item x="29"/>
        <item x="51"/>
        <item x="16"/>
        <item x="28"/>
        <item x="164"/>
        <item x="105"/>
        <item x="36"/>
        <item x="32"/>
        <item x="33"/>
        <item x="253"/>
        <item x="179"/>
        <item x="92"/>
        <item x="47"/>
        <item x="59"/>
        <item x="160"/>
        <item x="180"/>
        <item x="256"/>
        <item x="163"/>
        <item x="48"/>
        <item x="257"/>
        <item x="224"/>
        <item x="100"/>
        <item x="181"/>
        <item x="184"/>
        <item x="61"/>
        <item x="121"/>
        <item x="167"/>
        <item x="225"/>
        <item x="255"/>
        <item x="219"/>
        <item x="141"/>
        <item x="182"/>
        <item x="220"/>
        <item x="58"/>
        <item x="139"/>
        <item x="194"/>
        <item x="223"/>
        <item x="248"/>
        <item x="222"/>
        <item x="254"/>
        <item x="109"/>
        <item x="107"/>
        <item x="140"/>
        <item x="145"/>
        <item x="106"/>
        <item x="165"/>
        <item x="245"/>
        <item x="122"/>
        <item x="133"/>
        <item x="131"/>
        <item x="246"/>
        <item x="128"/>
        <item x="243"/>
        <item x="134"/>
        <item x="221"/>
        <item x="250"/>
        <item x="108"/>
        <item x="125"/>
        <item x="117"/>
        <item x="251"/>
        <item x="120"/>
        <item x="119"/>
        <item x="114"/>
        <item x="118"/>
        <item x="113"/>
        <item x="111"/>
        <item x="110"/>
        <item x="124"/>
        <item x="242"/>
        <item x="247"/>
        <item x="130"/>
        <item x="115"/>
        <item x="116"/>
        <item x="132"/>
        <item x="60"/>
        <item x="129"/>
        <item x="127"/>
        <item x="137"/>
        <item x="249"/>
        <item x="244"/>
        <item x="126"/>
        <item x="136"/>
        <item x="135"/>
        <item x="190"/>
        <item x="112"/>
        <item x="123"/>
        <item x="258"/>
        <item t="default"/>
      </items>
    </pivotField>
  </pivotFields>
  <rowFields count="1">
    <field x="0"/>
  </rowFields>
  <rowItems count="7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t="grand">
      <x/>
    </i>
  </rowItems>
  <colItems count="1">
    <i/>
  </colItems>
  <dataFields count="1">
    <dataField name="Suma iš Stulpelis2"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0" name="Lentelė10" displayName="Lentelė10" ref="B2:C595" totalsRowShown="0" headerRowDxfId="35" dataDxfId="33" headerRowBorderDxfId="34" tableBorderDxfId="32">
  <autoFilter ref="B2:C595"/>
  <sortState ref="B3:C595">
    <sortCondition ref="B4"/>
  </sortState>
  <tableColumns count="2">
    <tableColumn id="1" name="Stulpelis1" dataDxfId="31"/>
    <tableColumn id="2" name="Stulpelis2" dataDxfId="30"/>
  </tableColumns>
  <tableStyleInfo name="TableStyleMedium2" showFirstColumn="0" showLastColumn="0" showRowStripes="1" showColumnStripes="0"/>
</table>
</file>

<file path=xl/tables/table2.xml><?xml version="1.0" encoding="utf-8"?>
<table xmlns="http://schemas.openxmlformats.org/spreadsheetml/2006/main" id="1" name="Lentelė1" displayName="Lentelė1" ref="B1:D1150" totalsRowShown="0" tableBorderDxfId="29">
  <autoFilter ref="B1:D1150"/>
  <sortState ref="B2:D1150">
    <sortCondition ref="C15"/>
  </sortState>
  <tableColumns count="3">
    <tableColumn id="1" name="metai" dataDxfId="28"/>
    <tableColumn id="2" name="r1" dataDxfId="27"/>
    <tableColumn id="3" name="suma" dataDxfId="26"/>
  </tableColumns>
  <tableStyleInfo name="TableStyleMedium2" showFirstColumn="0" showLastColumn="0" showRowStripes="1" showColumnStripes="0"/>
</table>
</file>

<file path=xl/tables/table3.xml><?xml version="1.0" encoding="utf-8"?>
<table xmlns="http://schemas.openxmlformats.org/spreadsheetml/2006/main" id="2" name="Lentelė2" displayName="Lentelė2" ref="F1:I13" totalsRowShown="0" headerRowDxfId="25" headerRowBorderDxfId="24" tableBorderDxfId="23" totalsRowBorderDxfId="22">
  <autoFilter ref="F1:I13"/>
  <sortState ref="F2:I13">
    <sortCondition ref="G6"/>
  </sortState>
  <tableColumns count="4">
    <tableColumn id="1" name="metai"/>
    <tableColumn id="2" name="r1"/>
    <tableColumn id="3" name="suma"/>
    <tableColumn id="4" name="Stulpelis1" dataDxfId="21"/>
  </tableColumns>
  <tableStyleInfo name="TableStyleMedium2" showFirstColumn="0" showLastColumn="0" showRowStripes="1" showColumnStripes="0"/>
</table>
</file>

<file path=xl/tables/table4.xml><?xml version="1.0" encoding="utf-8"?>
<table xmlns="http://schemas.openxmlformats.org/spreadsheetml/2006/main" id="3" name="Lentelė3" displayName="Lentelė3" ref="K1:N13" totalsRowShown="0" headerRowDxfId="20" headerRowBorderDxfId="19" tableBorderDxfId="18">
  <autoFilter ref="K1:N13"/>
  <sortState ref="K2:N13">
    <sortCondition ref="L5"/>
  </sortState>
  <tableColumns count="4">
    <tableColumn id="1" name="metai"/>
    <tableColumn id="2" name="r1"/>
    <tableColumn id="3" name="suma"/>
    <tableColumn id="4" name="Stulpelis1"/>
  </tableColumns>
  <tableStyleInfo name="TableStyleMedium2" showFirstColumn="0" showLastColumn="0" showRowStripes="1" showColumnStripes="0"/>
</table>
</file>

<file path=xl/tables/table5.xml><?xml version="1.0" encoding="utf-8"?>
<table xmlns="http://schemas.openxmlformats.org/spreadsheetml/2006/main" id="4" name="Lentelė4" displayName="Lentelė4" ref="P1:S34" totalsRowShown="0" headerRowDxfId="17" headerRowBorderDxfId="16" tableBorderDxfId="15">
  <autoFilter ref="P1:S34"/>
  <sortState ref="P2:S34">
    <sortCondition ref="Q27"/>
  </sortState>
  <tableColumns count="4">
    <tableColumn id="1" name="metai"/>
    <tableColumn id="2" name="r1"/>
    <tableColumn id="3" name="suma" dataDxfId="14"/>
    <tableColumn id="4" name="Stulpelis1"/>
  </tableColumns>
  <tableStyleInfo name="TableStyleMedium2" showFirstColumn="0" showLastColumn="0" showRowStripes="1" showColumnStripes="0"/>
</table>
</file>

<file path=xl/tables/table6.xml><?xml version="1.0" encoding="utf-8"?>
<table xmlns="http://schemas.openxmlformats.org/spreadsheetml/2006/main" id="5" name="Lentelė5" displayName="Lentelė5" ref="U1:X208" totalsRowShown="0" headerRowDxfId="13" headerRowBorderDxfId="12" tableBorderDxfId="11">
  <autoFilter ref="U1:X208"/>
  <sortState ref="U2:X208">
    <sortCondition ref="V185"/>
  </sortState>
  <tableColumns count="4">
    <tableColumn id="1" name="metai" dataDxfId="10"/>
    <tableColumn id="2" name="r1"/>
    <tableColumn id="3" name="suma"/>
    <tableColumn id="4" name="Stulpelis1"/>
  </tableColumns>
  <tableStyleInfo name="TableStyleMedium2" showFirstColumn="0" showLastColumn="0" showRowStripes="1" showColumnStripes="0"/>
</table>
</file>

<file path=xl/tables/table7.xml><?xml version="1.0" encoding="utf-8"?>
<table xmlns="http://schemas.openxmlformats.org/spreadsheetml/2006/main" id="6" name="Lentelė6" displayName="Lentelė6" ref="Z1:AC179" totalsRowShown="0" headerRowDxfId="9" headerRowBorderDxfId="8" tableBorderDxfId="7">
  <autoFilter ref="Z1:AC179"/>
  <sortState ref="Z2:AC179">
    <sortCondition ref="AA8"/>
  </sortState>
  <tableColumns count="4">
    <tableColumn id="1" name="metai"/>
    <tableColumn id="2" name="r1"/>
    <tableColumn id="3" name="suma"/>
    <tableColumn id="4" name="Stulpelis1"/>
  </tableColumns>
  <tableStyleInfo name="TableStyleMedium2" showFirstColumn="0" showLastColumn="0" showRowStripes="1" showColumnStripes="0"/>
</table>
</file>

<file path=xl/tables/table8.xml><?xml version="1.0" encoding="utf-8"?>
<table xmlns="http://schemas.openxmlformats.org/spreadsheetml/2006/main" id="7" name="Lentelė7" displayName="Lentelė7" ref="AE1:AH135" totalsRowShown="0" headerRowDxfId="6" headerRowBorderDxfId="5" tableBorderDxfId="4">
  <autoFilter ref="AE1:AH135"/>
  <sortState ref="AE2:AH135">
    <sortCondition ref="AF9"/>
  </sortState>
  <tableColumns count="4">
    <tableColumn id="1" name="metai" dataDxfId="3" dataCellStyle="Paprastas 2"/>
    <tableColumn id="2" name="r1"/>
    <tableColumn id="3" name="suma"/>
    <tableColumn id="4" name="Stulpelis1"/>
  </tableColumns>
  <tableStyleInfo name="TableStyleMedium2" showFirstColumn="0" showLastColumn="0" showRowStripes="1" showColumnStripes="0"/>
</table>
</file>

<file path=xl/tables/table9.xml><?xml version="1.0" encoding="utf-8"?>
<table xmlns="http://schemas.openxmlformats.org/spreadsheetml/2006/main" id="8" name="Lentelė8" displayName="Lentelė8" ref="AJ1:AM15" totalsRowShown="0" headerRowDxfId="2" headerRowBorderDxfId="1" tableBorderDxfId="0">
  <autoFilter ref="AJ1:AM15"/>
  <sortState ref="AJ2:AM15">
    <sortCondition ref="AK9"/>
  </sortState>
  <tableColumns count="4">
    <tableColumn id="1" name="metai"/>
    <tableColumn id="2" name="r1"/>
    <tableColumn id="3" name="suma"/>
    <tableColumn id="4" name="Stulpelis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7"/>
  <sheetViews>
    <sheetView topLeftCell="A241" zoomScaleNormal="100" workbookViewId="0">
      <selection activeCell="C4" sqref="C4"/>
    </sheetView>
  </sheetViews>
  <sheetFormatPr defaultRowHeight="15" x14ac:dyDescent="0.25"/>
  <cols>
    <col min="1" max="1" width="4.85546875" style="4" customWidth="1"/>
    <col min="2" max="2" width="14.42578125" customWidth="1"/>
    <col min="3" max="4" width="35.28515625" customWidth="1"/>
    <col min="5" max="6" width="12.42578125" customWidth="1"/>
    <col min="7" max="7" width="23.7109375" customWidth="1"/>
    <col min="8" max="8" width="11.85546875" customWidth="1"/>
    <col min="9" max="9" width="12.5703125" customWidth="1"/>
    <col min="10" max="10" width="11.42578125" customWidth="1"/>
  </cols>
  <sheetData>
    <row r="1" spans="2:7" ht="15.75" customHeight="1" x14ac:dyDescent="0.25">
      <c r="B1" s="86" t="s">
        <v>1415</v>
      </c>
      <c r="F1" s="284" t="s">
        <v>52</v>
      </c>
      <c r="G1" s="284"/>
    </row>
    <row r="2" spans="2:7" ht="15.75" customHeight="1" x14ac:dyDescent="0.25">
      <c r="F2" s="285" t="s">
        <v>0</v>
      </c>
      <c r="G2" s="285"/>
    </row>
    <row r="3" spans="2:7" ht="15.75" customHeight="1" x14ac:dyDescent="0.25">
      <c r="F3" s="285" t="s">
        <v>16</v>
      </c>
      <c r="G3" s="285"/>
    </row>
    <row r="5" spans="2:7" ht="15.75" x14ac:dyDescent="0.25">
      <c r="B5" s="286" t="s">
        <v>3</v>
      </c>
      <c r="C5" s="286"/>
      <c r="D5" s="286"/>
      <c r="E5" s="286"/>
      <c r="F5" s="286"/>
      <c r="G5" s="286"/>
    </row>
    <row r="6" spans="2:7" ht="15.75" x14ac:dyDescent="0.25">
      <c r="B6" s="7"/>
      <c r="C6" s="7"/>
      <c r="D6" s="8"/>
      <c r="E6" s="8"/>
      <c r="F6" s="8"/>
      <c r="G6" s="8"/>
    </row>
    <row r="7" spans="2:7" ht="15.75" x14ac:dyDescent="0.25">
      <c r="B7" s="287" t="s">
        <v>53</v>
      </c>
      <c r="C7" s="287"/>
      <c r="D7" s="287"/>
      <c r="E7" s="287"/>
      <c r="F7" s="287"/>
      <c r="G7" s="287"/>
    </row>
    <row r="8" spans="2:7" s="4" customFormat="1" ht="15.75" x14ac:dyDescent="0.25">
      <c r="B8" s="25"/>
      <c r="C8" s="25"/>
      <c r="D8" s="25"/>
      <c r="E8" s="25"/>
      <c r="F8" s="25"/>
      <c r="G8" s="25"/>
    </row>
    <row r="9" spans="2:7" ht="15.75" x14ac:dyDescent="0.25">
      <c r="B9" s="288" t="s">
        <v>4</v>
      </c>
      <c r="C9" s="288"/>
      <c r="D9" s="288"/>
      <c r="E9" s="288"/>
      <c r="F9" s="288"/>
      <c r="G9" s="288"/>
    </row>
    <row r="11" spans="2:7" x14ac:dyDescent="0.25">
      <c r="B11" s="29" t="s">
        <v>5</v>
      </c>
      <c r="C11" s="58"/>
      <c r="D11" s="58"/>
      <c r="E11" s="58"/>
      <c r="F11" s="58"/>
      <c r="G11" s="58"/>
    </row>
    <row r="12" spans="2:7" ht="57" x14ac:dyDescent="0.25">
      <c r="B12" s="34" t="s">
        <v>1</v>
      </c>
      <c r="C12" s="34" t="s">
        <v>6</v>
      </c>
      <c r="D12" s="34" t="s">
        <v>7</v>
      </c>
      <c r="E12" s="34" t="s">
        <v>315</v>
      </c>
      <c r="F12" s="34" t="s">
        <v>54</v>
      </c>
      <c r="G12" s="34" t="s">
        <v>8</v>
      </c>
    </row>
    <row r="13" spans="2:7" x14ac:dyDescent="0.25">
      <c r="B13" s="33"/>
      <c r="C13" s="59" t="s">
        <v>103</v>
      </c>
      <c r="D13" s="33"/>
      <c r="E13" s="33"/>
      <c r="F13" s="33"/>
      <c r="G13" s="33"/>
    </row>
    <row r="14" spans="2:7" ht="63" customHeight="1" x14ac:dyDescent="0.25">
      <c r="B14" s="271" t="s">
        <v>55</v>
      </c>
      <c r="C14" s="280" t="s">
        <v>815</v>
      </c>
      <c r="D14" s="271" t="s">
        <v>56</v>
      </c>
      <c r="E14" s="271" t="s">
        <v>57</v>
      </c>
      <c r="F14" s="271">
        <v>100</v>
      </c>
      <c r="G14" s="33" t="s">
        <v>122</v>
      </c>
    </row>
    <row r="15" spans="2:7" x14ac:dyDescent="0.25">
      <c r="B15" s="271"/>
      <c r="C15" s="280"/>
      <c r="D15" s="271"/>
      <c r="E15" s="271"/>
      <c r="F15" s="271"/>
      <c r="G15" s="33" t="s">
        <v>98</v>
      </c>
    </row>
    <row r="16" spans="2:7" ht="15" customHeight="1" x14ac:dyDescent="0.25">
      <c r="B16" s="271"/>
      <c r="C16" s="280"/>
      <c r="D16" s="271"/>
      <c r="E16" s="271"/>
      <c r="F16" s="271"/>
      <c r="G16" s="33" t="s">
        <v>99</v>
      </c>
    </row>
    <row r="17" spans="2:7" ht="15.75" customHeight="1" x14ac:dyDescent="0.25">
      <c r="B17" s="271"/>
      <c r="C17" s="280"/>
      <c r="D17" s="271"/>
      <c r="E17" s="271"/>
      <c r="F17" s="271"/>
      <c r="G17" s="33" t="s">
        <v>123</v>
      </c>
    </row>
    <row r="18" spans="2:7" s="4" customFormat="1" ht="125.25" customHeight="1" x14ac:dyDescent="0.25">
      <c r="B18" s="271" t="s">
        <v>58</v>
      </c>
      <c r="C18" s="280" t="s">
        <v>816</v>
      </c>
      <c r="D18" s="271" t="s">
        <v>59</v>
      </c>
      <c r="E18" s="271" t="s">
        <v>60</v>
      </c>
      <c r="F18" s="271">
        <v>14</v>
      </c>
      <c r="G18" s="33" t="s">
        <v>892</v>
      </c>
    </row>
    <row r="19" spans="2:7" s="4" customFormat="1" x14ac:dyDescent="0.25">
      <c r="B19" s="271"/>
      <c r="C19" s="280"/>
      <c r="D19" s="271"/>
      <c r="E19" s="271"/>
      <c r="F19" s="271"/>
      <c r="G19" s="33" t="s">
        <v>893</v>
      </c>
    </row>
    <row r="20" spans="2:7" s="4" customFormat="1" x14ac:dyDescent="0.25">
      <c r="B20" s="271"/>
      <c r="C20" s="280"/>
      <c r="D20" s="271"/>
      <c r="E20" s="271"/>
      <c r="F20" s="271"/>
      <c r="G20" s="33" t="s">
        <v>894</v>
      </c>
    </row>
    <row r="21" spans="2:7" s="4" customFormat="1" x14ac:dyDescent="0.25">
      <c r="B21" s="271"/>
      <c r="C21" s="280"/>
      <c r="D21" s="271"/>
      <c r="E21" s="271"/>
      <c r="F21" s="271"/>
      <c r="G21" s="33" t="s">
        <v>895</v>
      </c>
    </row>
    <row r="22" spans="2:7" s="4" customFormat="1" ht="30.75" customHeight="1" x14ac:dyDescent="0.25">
      <c r="B22" s="271" t="s">
        <v>61</v>
      </c>
      <c r="C22" s="280" t="s">
        <v>817</v>
      </c>
      <c r="D22" s="282" t="s">
        <v>856</v>
      </c>
      <c r="E22" s="271" t="s">
        <v>857</v>
      </c>
      <c r="F22" s="271">
        <v>87</v>
      </c>
      <c r="G22" s="60" t="s">
        <v>915</v>
      </c>
    </row>
    <row r="23" spans="2:7" s="4" customFormat="1" x14ac:dyDescent="0.25">
      <c r="B23" s="271"/>
      <c r="C23" s="280"/>
      <c r="D23" s="282"/>
      <c r="E23" s="271"/>
      <c r="F23" s="271"/>
      <c r="G23" s="60" t="s">
        <v>916</v>
      </c>
    </row>
    <row r="24" spans="2:7" s="4" customFormat="1" x14ac:dyDescent="0.25">
      <c r="B24" s="271"/>
      <c r="C24" s="280"/>
      <c r="D24" s="282"/>
      <c r="E24" s="271"/>
      <c r="F24" s="271"/>
      <c r="G24" s="60" t="s">
        <v>859</v>
      </c>
    </row>
    <row r="25" spans="2:7" s="4" customFormat="1" ht="15.75" customHeight="1" x14ac:dyDescent="0.25">
      <c r="B25" s="271"/>
      <c r="C25" s="280"/>
      <c r="D25" s="282"/>
      <c r="E25" s="271"/>
      <c r="F25" s="271"/>
      <c r="G25" s="37" t="s">
        <v>858</v>
      </c>
    </row>
    <row r="26" spans="2:7" s="4" customFormat="1" ht="78" customHeight="1" x14ac:dyDescent="0.25">
      <c r="B26" s="271" t="s">
        <v>63</v>
      </c>
      <c r="C26" s="280" t="s">
        <v>818</v>
      </c>
      <c r="D26" s="271" t="s">
        <v>64</v>
      </c>
      <c r="E26" s="271" t="s">
        <v>65</v>
      </c>
      <c r="F26" s="271">
        <v>800</v>
      </c>
      <c r="G26" s="33" t="s">
        <v>925</v>
      </c>
    </row>
    <row r="27" spans="2:7" s="4" customFormat="1" x14ac:dyDescent="0.25">
      <c r="B27" s="271"/>
      <c r="C27" s="280"/>
      <c r="D27" s="271"/>
      <c r="E27" s="271"/>
      <c r="F27" s="271"/>
      <c r="G27" s="33" t="s">
        <v>926</v>
      </c>
    </row>
    <row r="28" spans="2:7" s="4" customFormat="1" x14ac:dyDescent="0.25">
      <c r="B28" s="271"/>
      <c r="C28" s="280"/>
      <c r="D28" s="271"/>
      <c r="E28" s="271"/>
      <c r="F28" s="271"/>
      <c r="G28" s="33" t="s">
        <v>927</v>
      </c>
    </row>
    <row r="29" spans="2:7" s="4" customFormat="1" x14ac:dyDescent="0.25">
      <c r="B29" s="271"/>
      <c r="C29" s="280"/>
      <c r="D29" s="271"/>
      <c r="E29" s="271"/>
      <c r="F29" s="271"/>
      <c r="G29" s="33" t="s">
        <v>95</v>
      </c>
    </row>
    <row r="30" spans="2:7" s="4" customFormat="1" x14ac:dyDescent="0.25">
      <c r="B30" s="33"/>
      <c r="C30" s="59" t="s">
        <v>102</v>
      </c>
      <c r="D30" s="33"/>
      <c r="E30" s="33"/>
      <c r="F30" s="33"/>
      <c r="G30" s="33"/>
    </row>
    <row r="31" spans="2:7" s="4" customFormat="1" ht="78" customHeight="1" x14ac:dyDescent="0.25">
      <c r="B31" s="271" t="s">
        <v>66</v>
      </c>
      <c r="C31" s="274" t="s">
        <v>819</v>
      </c>
      <c r="D31" s="272" t="s">
        <v>370</v>
      </c>
      <c r="E31" s="271" t="s">
        <v>76</v>
      </c>
      <c r="F31" s="271">
        <v>5</v>
      </c>
      <c r="G31" s="60" t="s">
        <v>94</v>
      </c>
    </row>
    <row r="32" spans="2:7" s="4" customFormat="1" x14ac:dyDescent="0.25">
      <c r="B32" s="271"/>
      <c r="C32" s="274"/>
      <c r="D32" s="272"/>
      <c r="E32" s="271"/>
      <c r="F32" s="271"/>
      <c r="G32" s="60" t="s">
        <v>93</v>
      </c>
    </row>
    <row r="33" spans="2:7" s="4" customFormat="1" x14ac:dyDescent="0.25">
      <c r="B33" s="271"/>
      <c r="C33" s="274"/>
      <c r="D33" s="272"/>
      <c r="E33" s="271"/>
      <c r="F33" s="271"/>
      <c r="G33" s="60" t="s">
        <v>92</v>
      </c>
    </row>
    <row r="34" spans="2:7" s="4" customFormat="1" x14ac:dyDescent="0.25">
      <c r="B34" s="271"/>
      <c r="C34" s="274"/>
      <c r="D34" s="272"/>
      <c r="E34" s="271"/>
      <c r="F34" s="271"/>
      <c r="G34" s="60" t="s">
        <v>91</v>
      </c>
    </row>
    <row r="35" spans="2:7" s="4" customFormat="1" ht="46.5" customHeight="1" x14ac:dyDescent="0.25">
      <c r="B35" s="271" t="s">
        <v>68</v>
      </c>
      <c r="C35" s="280" t="s">
        <v>820</v>
      </c>
      <c r="D35" s="271" t="s">
        <v>69</v>
      </c>
      <c r="E35" s="271" t="s">
        <v>77</v>
      </c>
      <c r="F35" s="271">
        <v>46.34</v>
      </c>
      <c r="G35" s="33" t="s">
        <v>90</v>
      </c>
    </row>
    <row r="36" spans="2:7" s="4" customFormat="1" x14ac:dyDescent="0.25">
      <c r="B36" s="271"/>
      <c r="C36" s="280"/>
      <c r="D36" s="271"/>
      <c r="E36" s="271"/>
      <c r="F36" s="271"/>
      <c r="G36" s="33" t="s">
        <v>89</v>
      </c>
    </row>
    <row r="37" spans="2:7" s="4" customFormat="1" ht="30" x14ac:dyDescent="0.25">
      <c r="B37" s="271"/>
      <c r="C37" s="280"/>
      <c r="D37" s="271"/>
      <c r="E37" s="271"/>
      <c r="F37" s="271"/>
      <c r="G37" s="33" t="s">
        <v>88</v>
      </c>
    </row>
    <row r="38" spans="2:7" s="4" customFormat="1" x14ac:dyDescent="0.25">
      <c r="B38" s="271"/>
      <c r="C38" s="280"/>
      <c r="D38" s="271"/>
      <c r="E38" s="271"/>
      <c r="F38" s="271"/>
      <c r="G38" s="33" t="s">
        <v>87</v>
      </c>
    </row>
    <row r="39" spans="2:7" s="4" customFormat="1" ht="30.75" customHeight="1" x14ac:dyDescent="0.25">
      <c r="B39" s="271" t="s">
        <v>70</v>
      </c>
      <c r="C39" s="280" t="s">
        <v>821</v>
      </c>
      <c r="D39" s="271" t="s">
        <v>71</v>
      </c>
      <c r="E39" s="271" t="s">
        <v>78</v>
      </c>
      <c r="F39" s="271">
        <v>77</v>
      </c>
      <c r="G39" s="60" t="s">
        <v>124</v>
      </c>
    </row>
    <row r="40" spans="2:7" s="4" customFormat="1" x14ac:dyDescent="0.25">
      <c r="B40" s="271"/>
      <c r="C40" s="280"/>
      <c r="D40" s="271"/>
      <c r="E40" s="271"/>
      <c r="F40" s="271"/>
      <c r="G40" s="60" t="s">
        <v>86</v>
      </c>
    </row>
    <row r="41" spans="2:7" s="4" customFormat="1" x14ac:dyDescent="0.25">
      <c r="B41" s="271"/>
      <c r="C41" s="280"/>
      <c r="D41" s="271"/>
      <c r="E41" s="271"/>
      <c r="F41" s="271"/>
      <c r="G41" s="60" t="s">
        <v>85</v>
      </c>
    </row>
    <row r="42" spans="2:7" s="4" customFormat="1" ht="15.75" customHeight="1" x14ac:dyDescent="0.25">
      <c r="B42" s="271"/>
      <c r="C42" s="280"/>
      <c r="D42" s="271"/>
      <c r="E42" s="271"/>
      <c r="F42" s="271"/>
      <c r="G42" s="33" t="s">
        <v>84</v>
      </c>
    </row>
    <row r="43" spans="2:7" s="4" customFormat="1" ht="125.25" customHeight="1" x14ac:dyDescent="0.25">
      <c r="B43" s="271" t="s">
        <v>72</v>
      </c>
      <c r="C43" s="281" t="s">
        <v>822</v>
      </c>
      <c r="D43" s="282" t="s">
        <v>73</v>
      </c>
      <c r="E43" s="271" t="s">
        <v>79</v>
      </c>
      <c r="F43" s="271">
        <v>2000</v>
      </c>
      <c r="G43" s="60" t="s">
        <v>83</v>
      </c>
    </row>
    <row r="44" spans="2:7" s="4" customFormat="1" x14ac:dyDescent="0.25">
      <c r="B44" s="271"/>
      <c r="C44" s="281"/>
      <c r="D44" s="282"/>
      <c r="E44" s="271"/>
      <c r="F44" s="271"/>
      <c r="G44" s="60" t="s">
        <v>82</v>
      </c>
    </row>
    <row r="45" spans="2:7" s="4" customFormat="1" ht="30" x14ac:dyDescent="0.25">
      <c r="B45" s="271"/>
      <c r="C45" s="281"/>
      <c r="D45" s="282"/>
      <c r="E45" s="271"/>
      <c r="F45" s="271"/>
      <c r="G45" s="60" t="s">
        <v>81</v>
      </c>
    </row>
    <row r="46" spans="2:7" s="4" customFormat="1" x14ac:dyDescent="0.25">
      <c r="B46" s="271"/>
      <c r="C46" s="281"/>
      <c r="D46" s="282"/>
      <c r="E46" s="271"/>
      <c r="F46" s="271"/>
      <c r="G46" s="60" t="s">
        <v>80</v>
      </c>
    </row>
    <row r="47" spans="2:7" s="4" customFormat="1" ht="62.25" customHeight="1" x14ac:dyDescent="0.25">
      <c r="B47" s="271" t="s">
        <v>74</v>
      </c>
      <c r="C47" s="281" t="s">
        <v>823</v>
      </c>
      <c r="D47" s="271" t="s">
        <v>75</v>
      </c>
      <c r="E47" s="271" t="s">
        <v>100</v>
      </c>
      <c r="F47" s="271">
        <v>4.5</v>
      </c>
      <c r="G47" s="33" t="s">
        <v>111</v>
      </c>
    </row>
    <row r="48" spans="2:7" s="4" customFormat="1" x14ac:dyDescent="0.25">
      <c r="B48" s="271"/>
      <c r="C48" s="281"/>
      <c r="D48" s="271"/>
      <c r="E48" s="271"/>
      <c r="F48" s="271"/>
      <c r="G48" s="33" t="s">
        <v>112</v>
      </c>
    </row>
    <row r="49" spans="2:7" s="4" customFormat="1" x14ac:dyDescent="0.25">
      <c r="B49" s="271"/>
      <c r="C49" s="281"/>
      <c r="D49" s="271"/>
      <c r="E49" s="271"/>
      <c r="F49" s="271"/>
      <c r="G49" s="33" t="s">
        <v>113</v>
      </c>
    </row>
    <row r="50" spans="2:7" s="4" customFormat="1" x14ac:dyDescent="0.25">
      <c r="B50" s="271"/>
      <c r="C50" s="281"/>
      <c r="D50" s="271"/>
      <c r="E50" s="271"/>
      <c r="F50" s="271"/>
      <c r="G50" s="33" t="s">
        <v>114</v>
      </c>
    </row>
    <row r="51" spans="2:7" s="4" customFormat="1" x14ac:dyDescent="0.25">
      <c r="B51" s="33"/>
      <c r="C51" s="61" t="s">
        <v>101</v>
      </c>
      <c r="D51" s="33"/>
      <c r="E51" s="33"/>
      <c r="F51" s="33"/>
      <c r="G51" s="33"/>
    </row>
    <row r="52" spans="2:7" s="4" customFormat="1" ht="62.25" customHeight="1" x14ac:dyDescent="0.25">
      <c r="B52" s="271" t="s">
        <v>104</v>
      </c>
      <c r="C52" s="280" t="s">
        <v>824</v>
      </c>
      <c r="D52" s="271" t="s">
        <v>105</v>
      </c>
      <c r="E52" s="271" t="s">
        <v>108</v>
      </c>
      <c r="F52" s="271">
        <v>50</v>
      </c>
      <c r="G52" s="33" t="s">
        <v>115</v>
      </c>
    </row>
    <row r="53" spans="2:7" s="4" customFormat="1" x14ac:dyDescent="0.25">
      <c r="B53" s="271"/>
      <c r="C53" s="280"/>
      <c r="D53" s="271"/>
      <c r="E53" s="271"/>
      <c r="F53" s="271"/>
      <c r="G53" s="33" t="s">
        <v>116</v>
      </c>
    </row>
    <row r="54" spans="2:7" s="4" customFormat="1" x14ac:dyDescent="0.25">
      <c r="B54" s="271"/>
      <c r="C54" s="280"/>
      <c r="D54" s="271"/>
      <c r="E54" s="271"/>
      <c r="F54" s="271"/>
      <c r="G54" s="33" t="s">
        <v>117</v>
      </c>
    </row>
    <row r="55" spans="2:7" s="4" customFormat="1" x14ac:dyDescent="0.25">
      <c r="B55" s="271"/>
      <c r="C55" s="280"/>
      <c r="D55" s="271"/>
      <c r="E55" s="271"/>
      <c r="F55" s="271"/>
      <c r="G55" s="33" t="s">
        <v>118</v>
      </c>
    </row>
    <row r="56" spans="2:7" s="4" customFormat="1" ht="109.5" customHeight="1" x14ac:dyDescent="0.25">
      <c r="B56" s="271" t="s">
        <v>106</v>
      </c>
      <c r="C56" s="280" t="s">
        <v>825</v>
      </c>
      <c r="D56" s="271" t="s">
        <v>107</v>
      </c>
      <c r="E56" s="271" t="s">
        <v>109</v>
      </c>
      <c r="F56" s="271">
        <v>13</v>
      </c>
      <c r="G56" s="33" t="s">
        <v>110</v>
      </c>
    </row>
    <row r="57" spans="2:7" s="4" customFormat="1" x14ac:dyDescent="0.25">
      <c r="B57" s="271"/>
      <c r="C57" s="280"/>
      <c r="D57" s="271"/>
      <c r="E57" s="271"/>
      <c r="F57" s="271"/>
      <c r="G57" s="33" t="s">
        <v>119</v>
      </c>
    </row>
    <row r="58" spans="2:7" s="4" customFormat="1" x14ac:dyDescent="0.25">
      <c r="B58" s="271"/>
      <c r="C58" s="280"/>
      <c r="D58" s="271"/>
      <c r="E58" s="271"/>
      <c r="F58" s="271"/>
      <c r="G58" s="33" t="s">
        <v>120</v>
      </c>
    </row>
    <row r="59" spans="2:7" s="4" customFormat="1" x14ac:dyDescent="0.25">
      <c r="B59" s="271"/>
      <c r="C59" s="280"/>
      <c r="D59" s="271"/>
      <c r="E59" s="271"/>
      <c r="F59" s="271"/>
      <c r="G59" s="33" t="s">
        <v>121</v>
      </c>
    </row>
    <row r="60" spans="2:7" ht="48.75" customHeight="1" x14ac:dyDescent="0.25">
      <c r="B60" s="278" t="s">
        <v>9</v>
      </c>
      <c r="C60" s="278"/>
      <c r="D60" s="278"/>
      <c r="E60" s="278"/>
      <c r="F60" s="278"/>
      <c r="G60" s="278"/>
    </row>
    <row r="61" spans="2:7" ht="45" customHeight="1" x14ac:dyDescent="0.25">
      <c r="B61" s="279" t="s">
        <v>10</v>
      </c>
      <c r="C61" s="279"/>
      <c r="D61" s="279"/>
      <c r="E61" s="279"/>
      <c r="F61" s="279"/>
      <c r="G61" s="279"/>
    </row>
    <row r="62" spans="2:7" x14ac:dyDescent="0.25">
      <c r="B62" s="62" t="s">
        <v>11</v>
      </c>
      <c r="C62" s="30"/>
      <c r="D62" s="30"/>
      <c r="E62" s="26"/>
      <c r="F62" s="26"/>
      <c r="G62" s="30"/>
    </row>
    <row r="63" spans="2:7" ht="15.75" x14ac:dyDescent="0.25">
      <c r="B63" s="3"/>
      <c r="C63" s="3"/>
      <c r="D63" s="3"/>
      <c r="E63" s="26"/>
      <c r="F63" s="26"/>
      <c r="G63" s="3"/>
    </row>
    <row r="64" spans="2:7" x14ac:dyDescent="0.25">
      <c r="B64" s="29" t="s">
        <v>12</v>
      </c>
      <c r="C64" s="30"/>
      <c r="D64" s="30"/>
      <c r="E64" s="26"/>
      <c r="F64" s="26"/>
      <c r="G64" s="30"/>
    </row>
    <row r="65" spans="2:7" ht="57" x14ac:dyDescent="0.25">
      <c r="B65" s="34" t="s">
        <v>1</v>
      </c>
      <c r="C65" s="34" t="s">
        <v>13</v>
      </c>
      <c r="D65" s="34" t="s">
        <v>7</v>
      </c>
      <c r="E65" s="34" t="s">
        <v>315</v>
      </c>
      <c r="F65" s="34" t="s">
        <v>54</v>
      </c>
      <c r="G65" s="34" t="s">
        <v>14</v>
      </c>
    </row>
    <row r="66" spans="2:7" ht="60" x14ac:dyDescent="0.25">
      <c r="B66" s="33"/>
      <c r="C66" s="34" t="s">
        <v>826</v>
      </c>
      <c r="D66" s="33"/>
      <c r="E66" s="33"/>
      <c r="F66" s="33"/>
      <c r="G66" s="33"/>
    </row>
    <row r="67" spans="2:7" ht="62.25" customHeight="1" x14ac:dyDescent="0.25">
      <c r="B67" s="272" t="s">
        <v>125</v>
      </c>
      <c r="C67" s="274" t="s">
        <v>827</v>
      </c>
      <c r="D67" s="272" t="s">
        <v>126</v>
      </c>
      <c r="E67" s="271" t="s">
        <v>127</v>
      </c>
      <c r="F67" s="271">
        <v>2896.2</v>
      </c>
      <c r="G67" s="60" t="s">
        <v>229</v>
      </c>
    </row>
    <row r="68" spans="2:7" ht="15.75" customHeight="1" x14ac:dyDescent="0.25">
      <c r="B68" s="272"/>
      <c r="C68" s="274"/>
      <c r="D68" s="272"/>
      <c r="E68" s="271"/>
      <c r="F68" s="271"/>
      <c r="G68" s="60" t="s">
        <v>128</v>
      </c>
    </row>
    <row r="69" spans="2:7" ht="30" x14ac:dyDescent="0.25">
      <c r="B69" s="272"/>
      <c r="C69" s="274"/>
      <c r="D69" s="272"/>
      <c r="E69" s="271"/>
      <c r="F69" s="271"/>
      <c r="G69" s="60" t="s">
        <v>129</v>
      </c>
    </row>
    <row r="70" spans="2:7" x14ac:dyDescent="0.25">
      <c r="B70" s="272"/>
      <c r="C70" s="274"/>
      <c r="D70" s="272"/>
      <c r="E70" s="271"/>
      <c r="F70" s="271"/>
      <c r="G70" s="60" t="s">
        <v>130</v>
      </c>
    </row>
    <row r="71" spans="2:7" s="4" customFormat="1" ht="78" customHeight="1" x14ac:dyDescent="0.25">
      <c r="B71" s="272" t="s">
        <v>131</v>
      </c>
      <c r="C71" s="274" t="s">
        <v>827</v>
      </c>
      <c r="D71" s="272" t="s">
        <v>132</v>
      </c>
      <c r="E71" s="271" t="s">
        <v>231</v>
      </c>
      <c r="F71" s="271">
        <v>47</v>
      </c>
      <c r="G71" s="60" t="s">
        <v>956</v>
      </c>
    </row>
    <row r="72" spans="2:7" s="4" customFormat="1" x14ac:dyDescent="0.25">
      <c r="B72" s="272"/>
      <c r="C72" s="274"/>
      <c r="D72" s="272"/>
      <c r="E72" s="271"/>
      <c r="F72" s="271"/>
      <c r="G72" s="60" t="s">
        <v>957</v>
      </c>
    </row>
    <row r="73" spans="2:7" s="4" customFormat="1" x14ac:dyDescent="0.25">
      <c r="B73" s="272"/>
      <c r="C73" s="274"/>
      <c r="D73" s="272"/>
      <c r="E73" s="271"/>
      <c r="F73" s="271"/>
      <c r="G73" s="60" t="s">
        <v>958</v>
      </c>
    </row>
    <row r="74" spans="2:7" s="4" customFormat="1" x14ac:dyDescent="0.25">
      <c r="B74" s="272"/>
      <c r="C74" s="274"/>
      <c r="D74" s="272"/>
      <c r="E74" s="271"/>
      <c r="F74" s="271"/>
      <c r="G74" s="60" t="s">
        <v>232</v>
      </c>
    </row>
    <row r="75" spans="2:7" s="4" customFormat="1" ht="141" customHeight="1" x14ac:dyDescent="0.25">
      <c r="B75" s="272" t="s">
        <v>133</v>
      </c>
      <c r="C75" s="274" t="s">
        <v>828</v>
      </c>
      <c r="D75" s="272" t="s">
        <v>134</v>
      </c>
      <c r="E75" s="271" t="s">
        <v>135</v>
      </c>
      <c r="F75" s="271">
        <v>2461.77</v>
      </c>
      <c r="G75" s="60" t="s">
        <v>316</v>
      </c>
    </row>
    <row r="76" spans="2:7" s="4" customFormat="1" x14ac:dyDescent="0.25">
      <c r="B76" s="272"/>
      <c r="C76" s="274"/>
      <c r="D76" s="272"/>
      <c r="E76" s="271"/>
      <c r="F76" s="271"/>
      <c r="G76" s="60" t="s">
        <v>233</v>
      </c>
    </row>
    <row r="77" spans="2:7" s="4" customFormat="1" ht="30" x14ac:dyDescent="0.25">
      <c r="B77" s="272"/>
      <c r="C77" s="274"/>
      <c r="D77" s="272"/>
      <c r="E77" s="271"/>
      <c r="F77" s="271"/>
      <c r="G77" s="60" t="s">
        <v>234</v>
      </c>
    </row>
    <row r="78" spans="2:7" s="4" customFormat="1" x14ac:dyDescent="0.25">
      <c r="B78" s="272"/>
      <c r="C78" s="274"/>
      <c r="D78" s="272"/>
      <c r="E78" s="271"/>
      <c r="F78" s="271"/>
      <c r="G78" s="60" t="s">
        <v>235</v>
      </c>
    </row>
    <row r="79" spans="2:7" s="4" customFormat="1" ht="60" x14ac:dyDescent="0.25">
      <c r="B79" s="33"/>
      <c r="C79" s="34" t="s">
        <v>816</v>
      </c>
      <c r="D79" s="33"/>
      <c r="E79" s="33"/>
      <c r="F79" s="33"/>
      <c r="G79" s="33"/>
    </row>
    <row r="80" spans="2:7" s="4" customFormat="1" ht="62.25" customHeight="1" x14ac:dyDescent="0.25">
      <c r="B80" s="272" t="s">
        <v>136</v>
      </c>
      <c r="C80" s="274" t="s">
        <v>829</v>
      </c>
      <c r="D80" s="272" t="s">
        <v>137</v>
      </c>
      <c r="E80" s="271" t="s">
        <v>138</v>
      </c>
      <c r="F80" s="271">
        <v>30</v>
      </c>
      <c r="G80" s="60" t="s">
        <v>317</v>
      </c>
    </row>
    <row r="81" spans="2:7" s="4" customFormat="1" x14ac:dyDescent="0.25">
      <c r="B81" s="272"/>
      <c r="C81" s="274"/>
      <c r="D81" s="272"/>
      <c r="E81" s="271"/>
      <c r="F81" s="271"/>
      <c r="G81" s="60" t="s">
        <v>236</v>
      </c>
    </row>
    <row r="82" spans="2:7" s="4" customFormat="1" ht="30" x14ac:dyDescent="0.25">
      <c r="B82" s="272"/>
      <c r="C82" s="274"/>
      <c r="D82" s="272"/>
      <c r="E82" s="271"/>
      <c r="F82" s="271"/>
      <c r="G82" s="60" t="s">
        <v>237</v>
      </c>
    </row>
    <row r="83" spans="2:7" s="4" customFormat="1" x14ac:dyDescent="0.25">
      <c r="B83" s="272"/>
      <c r="C83" s="274"/>
      <c r="D83" s="272"/>
      <c r="E83" s="271"/>
      <c r="F83" s="271"/>
      <c r="G83" s="60" t="s">
        <v>238</v>
      </c>
    </row>
    <row r="84" spans="2:7" s="4" customFormat="1" ht="78" customHeight="1" x14ac:dyDescent="0.25">
      <c r="B84" s="272" t="s">
        <v>139</v>
      </c>
      <c r="C84" s="274" t="s">
        <v>830</v>
      </c>
      <c r="D84" s="272" t="s">
        <v>140</v>
      </c>
      <c r="E84" s="271" t="s">
        <v>141</v>
      </c>
      <c r="F84" s="271">
        <v>500</v>
      </c>
      <c r="G84" s="60" t="s">
        <v>318</v>
      </c>
    </row>
    <row r="85" spans="2:7" s="4" customFormat="1" x14ac:dyDescent="0.25">
      <c r="B85" s="272"/>
      <c r="C85" s="274"/>
      <c r="D85" s="272"/>
      <c r="E85" s="271"/>
      <c r="F85" s="271"/>
      <c r="G85" s="60" t="s">
        <v>239</v>
      </c>
    </row>
    <row r="86" spans="2:7" s="4" customFormat="1" x14ac:dyDescent="0.25">
      <c r="B86" s="272"/>
      <c r="C86" s="274"/>
      <c r="D86" s="272"/>
      <c r="E86" s="271"/>
      <c r="F86" s="271"/>
      <c r="G86" s="60" t="s">
        <v>240</v>
      </c>
    </row>
    <row r="87" spans="2:7" s="4" customFormat="1" x14ac:dyDescent="0.25">
      <c r="B87" s="272"/>
      <c r="C87" s="274"/>
      <c r="D87" s="272"/>
      <c r="E87" s="271"/>
      <c r="F87" s="271"/>
      <c r="G87" s="60" t="s">
        <v>241</v>
      </c>
    </row>
    <row r="88" spans="2:7" s="4" customFormat="1" ht="30" x14ac:dyDescent="0.25">
      <c r="B88" s="33"/>
      <c r="C88" s="33" t="s">
        <v>142</v>
      </c>
      <c r="D88" s="33"/>
      <c r="E88" s="33"/>
      <c r="F88" s="33"/>
      <c r="G88" s="33"/>
    </row>
    <row r="89" spans="2:7" s="4" customFormat="1" ht="30.75" customHeight="1" x14ac:dyDescent="0.25">
      <c r="B89" s="272" t="s">
        <v>143</v>
      </c>
      <c r="C89" s="274" t="s">
        <v>831</v>
      </c>
      <c r="D89" s="272" t="s">
        <v>144</v>
      </c>
      <c r="E89" s="271" t="s">
        <v>150</v>
      </c>
      <c r="F89" s="271">
        <v>57</v>
      </c>
      <c r="G89" s="60" t="s">
        <v>242</v>
      </c>
    </row>
    <row r="90" spans="2:7" s="4" customFormat="1" x14ac:dyDescent="0.25">
      <c r="B90" s="272"/>
      <c r="C90" s="274"/>
      <c r="D90" s="272"/>
      <c r="E90" s="271"/>
      <c r="F90" s="271"/>
      <c r="G90" s="60" t="s">
        <v>243</v>
      </c>
    </row>
    <row r="91" spans="2:7" s="4" customFormat="1" x14ac:dyDescent="0.25">
      <c r="B91" s="272"/>
      <c r="C91" s="274"/>
      <c r="D91" s="272"/>
      <c r="E91" s="271"/>
      <c r="F91" s="271"/>
      <c r="G91" s="60" t="s">
        <v>244</v>
      </c>
    </row>
    <row r="92" spans="2:7" s="4" customFormat="1" x14ac:dyDescent="0.25">
      <c r="B92" s="272"/>
      <c r="C92" s="274"/>
      <c r="D92" s="272"/>
      <c r="E92" s="271"/>
      <c r="F92" s="271"/>
      <c r="G92" s="60" t="s">
        <v>245</v>
      </c>
    </row>
    <row r="93" spans="2:7" s="4" customFormat="1" ht="30.75" customHeight="1" x14ac:dyDescent="0.25">
      <c r="B93" s="272" t="s">
        <v>145</v>
      </c>
      <c r="C93" s="274" t="s">
        <v>831</v>
      </c>
      <c r="D93" s="277" t="s">
        <v>230</v>
      </c>
      <c r="E93" s="271" t="s">
        <v>62</v>
      </c>
      <c r="F93" s="271">
        <v>25</v>
      </c>
      <c r="G93" s="60" t="s">
        <v>983</v>
      </c>
    </row>
    <row r="94" spans="2:7" s="4" customFormat="1" x14ac:dyDescent="0.25">
      <c r="B94" s="272"/>
      <c r="C94" s="274"/>
      <c r="D94" s="277"/>
      <c r="E94" s="271"/>
      <c r="F94" s="271"/>
      <c r="G94" s="60" t="s">
        <v>984</v>
      </c>
    </row>
    <row r="95" spans="2:7" s="4" customFormat="1" x14ac:dyDescent="0.25">
      <c r="B95" s="272"/>
      <c r="C95" s="274"/>
      <c r="D95" s="277"/>
      <c r="E95" s="271"/>
      <c r="F95" s="271"/>
      <c r="G95" s="60" t="s">
        <v>97</v>
      </c>
    </row>
    <row r="96" spans="2:7" s="4" customFormat="1" x14ac:dyDescent="0.25">
      <c r="B96" s="272"/>
      <c r="C96" s="274"/>
      <c r="D96" s="277"/>
      <c r="E96" s="271"/>
      <c r="F96" s="271"/>
      <c r="G96" s="60" t="s">
        <v>96</v>
      </c>
    </row>
    <row r="97" spans="2:7" s="4" customFormat="1" ht="30.75" customHeight="1" x14ac:dyDescent="0.25">
      <c r="B97" s="272" t="s">
        <v>148</v>
      </c>
      <c r="C97" s="274" t="s">
        <v>831</v>
      </c>
      <c r="D97" s="272" t="s">
        <v>146</v>
      </c>
      <c r="E97" s="271" t="s">
        <v>151</v>
      </c>
      <c r="F97" s="271">
        <v>0.85</v>
      </c>
      <c r="G97" s="60" t="s">
        <v>246</v>
      </c>
    </row>
    <row r="98" spans="2:7" s="4" customFormat="1" x14ac:dyDescent="0.25">
      <c r="B98" s="272"/>
      <c r="C98" s="274"/>
      <c r="D98" s="272"/>
      <c r="E98" s="271"/>
      <c r="F98" s="271"/>
      <c r="G98" s="60" t="s">
        <v>247</v>
      </c>
    </row>
    <row r="99" spans="2:7" s="4" customFormat="1" ht="30" x14ac:dyDescent="0.25">
      <c r="B99" s="272"/>
      <c r="C99" s="274"/>
      <c r="D99" s="272"/>
      <c r="E99" s="271"/>
      <c r="F99" s="271"/>
      <c r="G99" s="60" t="s">
        <v>248</v>
      </c>
    </row>
    <row r="100" spans="2:7" s="4" customFormat="1" x14ac:dyDescent="0.25">
      <c r="B100" s="272"/>
      <c r="C100" s="274"/>
      <c r="D100" s="272"/>
      <c r="E100" s="271"/>
      <c r="F100" s="271"/>
      <c r="G100" s="60" t="s">
        <v>319</v>
      </c>
    </row>
    <row r="101" spans="2:7" s="4" customFormat="1" ht="30.75" customHeight="1" x14ac:dyDescent="0.25">
      <c r="B101" s="272" t="s">
        <v>854</v>
      </c>
      <c r="C101" s="274" t="s">
        <v>831</v>
      </c>
      <c r="D101" s="272" t="s">
        <v>147</v>
      </c>
      <c r="E101" s="271" t="s">
        <v>152</v>
      </c>
      <c r="F101" s="271">
        <v>1</v>
      </c>
      <c r="G101" s="60" t="s">
        <v>249</v>
      </c>
    </row>
    <row r="102" spans="2:7" s="4" customFormat="1" x14ac:dyDescent="0.25">
      <c r="B102" s="272"/>
      <c r="C102" s="274"/>
      <c r="D102" s="272"/>
      <c r="E102" s="271"/>
      <c r="F102" s="271"/>
      <c r="G102" s="60" t="s">
        <v>250</v>
      </c>
    </row>
    <row r="103" spans="2:7" s="4" customFormat="1" ht="30" x14ac:dyDescent="0.25">
      <c r="B103" s="272"/>
      <c r="C103" s="274"/>
      <c r="D103" s="272"/>
      <c r="E103" s="271"/>
      <c r="F103" s="271"/>
      <c r="G103" s="60" t="s">
        <v>251</v>
      </c>
    </row>
    <row r="104" spans="2:7" s="4" customFormat="1" x14ac:dyDescent="0.25">
      <c r="B104" s="272"/>
      <c r="C104" s="274"/>
      <c r="D104" s="272"/>
      <c r="E104" s="271"/>
      <c r="F104" s="271"/>
      <c r="G104" s="60" t="s">
        <v>320</v>
      </c>
    </row>
    <row r="105" spans="2:7" s="4" customFormat="1" ht="30.75" customHeight="1" x14ac:dyDescent="0.25">
      <c r="B105" s="272" t="s">
        <v>855</v>
      </c>
      <c r="C105" s="274" t="s">
        <v>831</v>
      </c>
      <c r="D105" s="272" t="s">
        <v>149</v>
      </c>
      <c r="E105" s="271" t="s">
        <v>153</v>
      </c>
      <c r="F105" s="271">
        <v>5.6000000000000001E-2</v>
      </c>
      <c r="G105" s="60" t="s">
        <v>322</v>
      </c>
    </row>
    <row r="106" spans="2:7" s="4" customFormat="1" x14ac:dyDescent="0.25">
      <c r="B106" s="272"/>
      <c r="C106" s="274"/>
      <c r="D106" s="272"/>
      <c r="E106" s="271"/>
      <c r="F106" s="271"/>
      <c r="G106" s="60" t="s">
        <v>252</v>
      </c>
    </row>
    <row r="107" spans="2:7" s="4" customFormat="1" ht="30" x14ac:dyDescent="0.25">
      <c r="B107" s="272"/>
      <c r="C107" s="274"/>
      <c r="D107" s="272"/>
      <c r="E107" s="271"/>
      <c r="F107" s="271"/>
      <c r="G107" s="60" t="s">
        <v>253</v>
      </c>
    </row>
    <row r="108" spans="2:7" s="4" customFormat="1" x14ac:dyDescent="0.25">
      <c r="B108" s="272"/>
      <c r="C108" s="274"/>
      <c r="D108" s="272"/>
      <c r="E108" s="271"/>
      <c r="F108" s="271"/>
      <c r="G108" s="60" t="s">
        <v>321</v>
      </c>
    </row>
    <row r="109" spans="2:7" s="4" customFormat="1" ht="45" x14ac:dyDescent="0.25">
      <c r="B109" s="33"/>
      <c r="C109" s="33" t="s">
        <v>154</v>
      </c>
      <c r="D109" s="33"/>
      <c r="E109" s="33"/>
      <c r="F109" s="33"/>
      <c r="G109" s="33"/>
    </row>
    <row r="110" spans="2:7" s="4" customFormat="1" ht="109.5" customHeight="1" x14ac:dyDescent="0.25">
      <c r="B110" s="272" t="s">
        <v>155</v>
      </c>
      <c r="C110" s="274" t="s">
        <v>832</v>
      </c>
      <c r="D110" s="272" t="s">
        <v>156</v>
      </c>
      <c r="E110" s="271" t="s">
        <v>157</v>
      </c>
      <c r="F110" s="271">
        <v>1800</v>
      </c>
      <c r="G110" s="60" t="s">
        <v>991</v>
      </c>
    </row>
    <row r="111" spans="2:7" s="4" customFormat="1" x14ac:dyDescent="0.25">
      <c r="B111" s="272"/>
      <c r="C111" s="274"/>
      <c r="D111" s="272"/>
      <c r="E111" s="271"/>
      <c r="F111" s="271"/>
      <c r="G111" s="60" t="s">
        <v>992</v>
      </c>
    </row>
    <row r="112" spans="2:7" s="4" customFormat="1" ht="30" x14ac:dyDescent="0.25">
      <c r="B112" s="272"/>
      <c r="C112" s="274"/>
      <c r="D112" s="272"/>
      <c r="E112" s="271"/>
      <c r="F112" s="271"/>
      <c r="G112" s="60" t="s">
        <v>254</v>
      </c>
    </row>
    <row r="113" spans="2:7" s="4" customFormat="1" x14ac:dyDescent="0.25">
      <c r="B113" s="272"/>
      <c r="C113" s="274"/>
      <c r="D113" s="272"/>
      <c r="E113" s="271"/>
      <c r="F113" s="271"/>
      <c r="G113" s="60" t="s">
        <v>255</v>
      </c>
    </row>
    <row r="114" spans="2:7" s="4" customFormat="1" ht="109.5" customHeight="1" x14ac:dyDescent="0.25">
      <c r="B114" s="272" t="s">
        <v>158</v>
      </c>
      <c r="C114" s="274" t="s">
        <v>832</v>
      </c>
      <c r="D114" s="272" t="s">
        <v>159</v>
      </c>
      <c r="E114" s="271" t="s">
        <v>163</v>
      </c>
      <c r="F114" s="271">
        <v>0.45</v>
      </c>
      <c r="G114" s="60" t="s">
        <v>1000</v>
      </c>
    </row>
    <row r="115" spans="2:7" s="4" customFormat="1" x14ac:dyDescent="0.25">
      <c r="B115" s="272"/>
      <c r="C115" s="274"/>
      <c r="D115" s="272"/>
      <c r="E115" s="271"/>
      <c r="F115" s="271"/>
      <c r="G115" s="60" t="s">
        <v>1001</v>
      </c>
    </row>
    <row r="116" spans="2:7" s="4" customFormat="1" ht="30" x14ac:dyDescent="0.25">
      <c r="B116" s="272"/>
      <c r="C116" s="274"/>
      <c r="D116" s="272"/>
      <c r="E116" s="271"/>
      <c r="F116" s="271"/>
      <c r="G116" s="60" t="s">
        <v>256</v>
      </c>
    </row>
    <row r="117" spans="2:7" s="4" customFormat="1" x14ac:dyDescent="0.25">
      <c r="B117" s="272"/>
      <c r="C117" s="274"/>
      <c r="D117" s="272"/>
      <c r="E117" s="271"/>
      <c r="F117" s="271"/>
      <c r="G117" s="60" t="s">
        <v>257</v>
      </c>
    </row>
    <row r="118" spans="2:7" s="4" customFormat="1" ht="46.5" customHeight="1" x14ac:dyDescent="0.25">
      <c r="B118" s="272" t="s">
        <v>160</v>
      </c>
      <c r="C118" s="274" t="s">
        <v>833</v>
      </c>
      <c r="D118" s="272" t="s">
        <v>161</v>
      </c>
      <c r="E118" s="271" t="s">
        <v>162</v>
      </c>
      <c r="F118" s="271">
        <v>290</v>
      </c>
      <c r="G118" s="60" t="s">
        <v>323</v>
      </c>
    </row>
    <row r="119" spans="2:7" s="4" customFormat="1" x14ac:dyDescent="0.25">
      <c r="B119" s="272"/>
      <c r="C119" s="274"/>
      <c r="D119" s="272"/>
      <c r="E119" s="271"/>
      <c r="F119" s="271"/>
      <c r="G119" s="60" t="s">
        <v>258</v>
      </c>
    </row>
    <row r="120" spans="2:7" s="4" customFormat="1" x14ac:dyDescent="0.25">
      <c r="B120" s="272"/>
      <c r="C120" s="274"/>
      <c r="D120" s="272"/>
      <c r="E120" s="271"/>
      <c r="F120" s="271"/>
      <c r="G120" s="60" t="s">
        <v>259</v>
      </c>
    </row>
    <row r="121" spans="2:7" s="4" customFormat="1" x14ac:dyDescent="0.25">
      <c r="B121" s="272"/>
      <c r="C121" s="274"/>
      <c r="D121" s="272"/>
      <c r="E121" s="271"/>
      <c r="F121" s="271"/>
      <c r="G121" s="60" t="s">
        <v>260</v>
      </c>
    </row>
    <row r="122" spans="2:7" s="4" customFormat="1" ht="30" x14ac:dyDescent="0.25">
      <c r="B122" s="33"/>
      <c r="C122" s="33" t="s">
        <v>164</v>
      </c>
      <c r="D122" s="33"/>
      <c r="E122" s="33"/>
      <c r="F122" s="33"/>
      <c r="G122" s="33"/>
    </row>
    <row r="123" spans="2:7" s="4" customFormat="1" ht="78" customHeight="1" x14ac:dyDescent="0.25">
      <c r="B123" s="272" t="s">
        <v>165</v>
      </c>
      <c r="C123" s="274" t="s">
        <v>834</v>
      </c>
      <c r="D123" s="272" t="s">
        <v>166</v>
      </c>
      <c r="E123" s="271" t="s">
        <v>314</v>
      </c>
      <c r="F123" s="271">
        <v>200</v>
      </c>
      <c r="G123" s="60" t="s">
        <v>261</v>
      </c>
    </row>
    <row r="124" spans="2:7" s="4" customFormat="1" x14ac:dyDescent="0.25">
      <c r="B124" s="272"/>
      <c r="C124" s="274"/>
      <c r="D124" s="272"/>
      <c r="E124" s="271"/>
      <c r="F124" s="271"/>
      <c r="G124" s="60" t="s">
        <v>262</v>
      </c>
    </row>
    <row r="125" spans="2:7" s="4" customFormat="1" x14ac:dyDescent="0.25">
      <c r="B125" s="272"/>
      <c r="C125" s="274"/>
      <c r="D125" s="272"/>
      <c r="E125" s="271"/>
      <c r="F125" s="271"/>
      <c r="G125" s="60" t="s">
        <v>263</v>
      </c>
    </row>
    <row r="126" spans="2:7" s="4" customFormat="1" x14ac:dyDescent="0.25">
      <c r="B126" s="272"/>
      <c r="C126" s="274"/>
      <c r="D126" s="272"/>
      <c r="E126" s="271"/>
      <c r="F126" s="271"/>
      <c r="G126" s="60" t="s">
        <v>325</v>
      </c>
    </row>
    <row r="127" spans="2:7" s="4" customFormat="1" ht="405" x14ac:dyDescent="0.25">
      <c r="B127" s="60" t="s">
        <v>167</v>
      </c>
      <c r="C127" s="63" t="s">
        <v>835</v>
      </c>
      <c r="D127" s="64" t="s">
        <v>168</v>
      </c>
      <c r="E127" s="33" t="s">
        <v>141</v>
      </c>
      <c r="F127" s="33" t="s">
        <v>141</v>
      </c>
      <c r="G127" s="33" t="s">
        <v>264</v>
      </c>
    </row>
    <row r="128" spans="2:7" s="4" customFormat="1" ht="46.5" customHeight="1" x14ac:dyDescent="0.25">
      <c r="B128" s="272" t="s">
        <v>169</v>
      </c>
      <c r="C128" s="274" t="s">
        <v>836</v>
      </c>
      <c r="D128" s="272" t="s">
        <v>170</v>
      </c>
      <c r="E128" s="271" t="s">
        <v>141</v>
      </c>
      <c r="F128" s="271">
        <v>7000</v>
      </c>
      <c r="G128" s="60" t="s">
        <v>326</v>
      </c>
    </row>
    <row r="129" spans="2:7" s="4" customFormat="1" x14ac:dyDescent="0.25">
      <c r="B129" s="272"/>
      <c r="C129" s="274"/>
      <c r="D129" s="272"/>
      <c r="E129" s="271"/>
      <c r="F129" s="271"/>
      <c r="G129" s="60" t="s">
        <v>265</v>
      </c>
    </row>
    <row r="130" spans="2:7" s="4" customFormat="1" ht="30" x14ac:dyDescent="0.25">
      <c r="B130" s="272"/>
      <c r="C130" s="274"/>
      <c r="D130" s="272"/>
      <c r="E130" s="271"/>
      <c r="F130" s="271"/>
      <c r="G130" s="60" t="s">
        <v>266</v>
      </c>
    </row>
    <row r="131" spans="2:7" s="4" customFormat="1" x14ac:dyDescent="0.25">
      <c r="B131" s="272"/>
      <c r="C131" s="274"/>
      <c r="D131" s="272"/>
      <c r="E131" s="271"/>
      <c r="F131" s="271"/>
      <c r="G131" s="60" t="s">
        <v>267</v>
      </c>
    </row>
    <row r="132" spans="2:7" s="4" customFormat="1" ht="409.5" x14ac:dyDescent="0.25">
      <c r="B132" s="60" t="s">
        <v>171</v>
      </c>
      <c r="C132" s="63" t="s">
        <v>837</v>
      </c>
      <c r="D132" s="64" t="s">
        <v>172</v>
      </c>
      <c r="E132" s="33" t="s">
        <v>141</v>
      </c>
      <c r="F132" s="33" t="s">
        <v>141</v>
      </c>
      <c r="G132" s="33" t="s">
        <v>268</v>
      </c>
    </row>
    <row r="133" spans="2:7" s="4" customFormat="1" ht="30" x14ac:dyDescent="0.25">
      <c r="B133" s="33"/>
      <c r="C133" s="33" t="s">
        <v>173</v>
      </c>
      <c r="D133" s="33"/>
      <c r="E133" s="33"/>
      <c r="F133" s="33"/>
      <c r="G133" s="33"/>
    </row>
    <row r="134" spans="2:7" s="4" customFormat="1" ht="188.25" customHeight="1" x14ac:dyDescent="0.25">
      <c r="B134" s="272" t="s">
        <v>174</v>
      </c>
      <c r="C134" s="274" t="s">
        <v>838</v>
      </c>
      <c r="D134" s="272" t="s">
        <v>175</v>
      </c>
      <c r="E134" s="271" t="s">
        <v>178</v>
      </c>
      <c r="F134" s="271">
        <v>12</v>
      </c>
      <c r="G134" s="60" t="s">
        <v>269</v>
      </c>
    </row>
    <row r="135" spans="2:7" s="4" customFormat="1" x14ac:dyDescent="0.25">
      <c r="B135" s="272"/>
      <c r="C135" s="274"/>
      <c r="D135" s="272"/>
      <c r="E135" s="271"/>
      <c r="F135" s="271"/>
      <c r="G135" s="60" t="s">
        <v>270</v>
      </c>
    </row>
    <row r="136" spans="2:7" s="4" customFormat="1" x14ac:dyDescent="0.25">
      <c r="B136" s="272"/>
      <c r="C136" s="274"/>
      <c r="D136" s="272"/>
      <c r="E136" s="271"/>
      <c r="F136" s="271"/>
      <c r="G136" s="60" t="s">
        <v>271</v>
      </c>
    </row>
    <row r="137" spans="2:7" s="4" customFormat="1" x14ac:dyDescent="0.25">
      <c r="B137" s="272"/>
      <c r="C137" s="274"/>
      <c r="D137" s="272"/>
      <c r="E137" s="271"/>
      <c r="F137" s="271"/>
      <c r="G137" s="60" t="s">
        <v>272</v>
      </c>
    </row>
    <row r="138" spans="2:7" s="4" customFormat="1" ht="78" customHeight="1" x14ac:dyDescent="0.25">
      <c r="B138" s="272" t="s">
        <v>176</v>
      </c>
      <c r="C138" s="274" t="s">
        <v>838</v>
      </c>
      <c r="D138" s="272" t="s">
        <v>177</v>
      </c>
      <c r="E138" s="271" t="s">
        <v>179</v>
      </c>
      <c r="F138" s="271">
        <v>7</v>
      </c>
      <c r="G138" s="60" t="s">
        <v>273</v>
      </c>
    </row>
    <row r="139" spans="2:7" s="4" customFormat="1" x14ac:dyDescent="0.25">
      <c r="B139" s="272"/>
      <c r="C139" s="274"/>
      <c r="D139" s="272"/>
      <c r="E139" s="271"/>
      <c r="F139" s="271"/>
      <c r="G139" s="60" t="s">
        <v>274</v>
      </c>
    </row>
    <row r="140" spans="2:7" s="4" customFormat="1" x14ac:dyDescent="0.25">
      <c r="B140" s="272"/>
      <c r="C140" s="274"/>
      <c r="D140" s="272"/>
      <c r="E140" s="271"/>
      <c r="F140" s="271"/>
      <c r="G140" s="60" t="s">
        <v>275</v>
      </c>
    </row>
    <row r="141" spans="2:7" s="4" customFormat="1" x14ac:dyDescent="0.25">
      <c r="B141" s="272"/>
      <c r="C141" s="274"/>
      <c r="D141" s="272"/>
      <c r="E141" s="271"/>
      <c r="F141" s="271"/>
      <c r="G141" s="60" t="s">
        <v>276</v>
      </c>
    </row>
    <row r="142" spans="2:7" s="4" customFormat="1" ht="30.75" customHeight="1" x14ac:dyDescent="0.25">
      <c r="B142" s="272" t="s">
        <v>180</v>
      </c>
      <c r="C142" s="274" t="s">
        <v>839</v>
      </c>
      <c r="D142" s="272" t="s">
        <v>181</v>
      </c>
      <c r="E142" s="271" t="s">
        <v>141</v>
      </c>
      <c r="F142" s="271">
        <v>260</v>
      </c>
      <c r="G142" s="60" t="s">
        <v>327</v>
      </c>
    </row>
    <row r="143" spans="2:7" s="4" customFormat="1" x14ac:dyDescent="0.25">
      <c r="B143" s="272"/>
      <c r="C143" s="274"/>
      <c r="D143" s="272"/>
      <c r="E143" s="271"/>
      <c r="F143" s="271"/>
      <c r="G143" s="60" t="s">
        <v>277</v>
      </c>
    </row>
    <row r="144" spans="2:7" s="4" customFormat="1" x14ac:dyDescent="0.25">
      <c r="B144" s="272"/>
      <c r="C144" s="274"/>
      <c r="D144" s="272"/>
      <c r="E144" s="271"/>
      <c r="F144" s="271"/>
      <c r="G144" s="60" t="s">
        <v>278</v>
      </c>
    </row>
    <row r="145" spans="2:7" s="4" customFormat="1" x14ac:dyDescent="0.25">
      <c r="B145" s="272"/>
      <c r="C145" s="274"/>
      <c r="D145" s="272"/>
      <c r="E145" s="271"/>
      <c r="F145" s="271"/>
      <c r="G145" s="60" t="s">
        <v>279</v>
      </c>
    </row>
    <row r="146" spans="2:7" s="4" customFormat="1" ht="30" x14ac:dyDescent="0.25">
      <c r="B146" s="33"/>
      <c r="C146" s="33" t="s">
        <v>182</v>
      </c>
      <c r="D146" s="33"/>
      <c r="E146" s="33"/>
      <c r="F146" s="33"/>
      <c r="G146" s="33"/>
    </row>
    <row r="147" spans="2:7" s="4" customFormat="1" x14ac:dyDescent="0.25">
      <c r="B147" s="272" t="s">
        <v>183</v>
      </c>
      <c r="C147" s="274" t="s">
        <v>840</v>
      </c>
      <c r="D147" s="272" t="s">
        <v>184</v>
      </c>
      <c r="E147" s="271" t="s">
        <v>185</v>
      </c>
      <c r="F147" s="271">
        <v>52</v>
      </c>
      <c r="G147" s="60" t="s">
        <v>1020</v>
      </c>
    </row>
    <row r="148" spans="2:7" s="4" customFormat="1" x14ac:dyDescent="0.25">
      <c r="B148" s="272"/>
      <c r="C148" s="274"/>
      <c r="D148" s="272"/>
      <c r="E148" s="271"/>
      <c r="F148" s="271"/>
      <c r="G148" s="60" t="s">
        <v>1021</v>
      </c>
    </row>
    <row r="149" spans="2:7" s="4" customFormat="1" ht="30" x14ac:dyDescent="0.25">
      <c r="B149" s="272"/>
      <c r="C149" s="274"/>
      <c r="D149" s="272"/>
      <c r="E149" s="271"/>
      <c r="F149" s="271"/>
      <c r="G149" s="60" t="s">
        <v>280</v>
      </c>
    </row>
    <row r="150" spans="2:7" s="4" customFormat="1" x14ac:dyDescent="0.25">
      <c r="B150" s="272"/>
      <c r="C150" s="274"/>
      <c r="D150" s="272"/>
      <c r="E150" s="271"/>
      <c r="F150" s="271"/>
      <c r="G150" s="60" t="s">
        <v>281</v>
      </c>
    </row>
    <row r="151" spans="2:7" s="4" customFormat="1" ht="409.5" x14ac:dyDescent="0.25">
      <c r="B151" s="60" t="s">
        <v>186</v>
      </c>
      <c r="C151" s="63" t="s">
        <v>841</v>
      </c>
      <c r="D151" s="64" t="s">
        <v>187</v>
      </c>
      <c r="E151" s="33" t="s">
        <v>141</v>
      </c>
      <c r="F151" s="33" t="s">
        <v>141</v>
      </c>
      <c r="G151" s="33" t="s">
        <v>268</v>
      </c>
    </row>
    <row r="152" spans="2:7" s="4" customFormat="1" ht="60" x14ac:dyDescent="0.25">
      <c r="B152" s="33"/>
      <c r="C152" s="33" t="s">
        <v>188</v>
      </c>
      <c r="D152" s="33"/>
      <c r="E152" s="33"/>
      <c r="F152" s="33"/>
      <c r="G152" s="33"/>
    </row>
    <row r="153" spans="2:7" s="4" customFormat="1" ht="46.5" customHeight="1" x14ac:dyDescent="0.25">
      <c r="B153" s="272" t="s">
        <v>189</v>
      </c>
      <c r="C153" s="274" t="s">
        <v>842</v>
      </c>
      <c r="D153" s="272" t="s">
        <v>190</v>
      </c>
      <c r="E153" s="271" t="s">
        <v>191</v>
      </c>
      <c r="F153" s="271">
        <v>750</v>
      </c>
      <c r="G153" s="60" t="s">
        <v>328</v>
      </c>
    </row>
    <row r="154" spans="2:7" s="4" customFormat="1" x14ac:dyDescent="0.25">
      <c r="B154" s="272"/>
      <c r="C154" s="274"/>
      <c r="D154" s="272"/>
      <c r="E154" s="271"/>
      <c r="F154" s="271"/>
      <c r="G154" s="60" t="s">
        <v>282</v>
      </c>
    </row>
    <row r="155" spans="2:7" s="4" customFormat="1" x14ac:dyDescent="0.25">
      <c r="B155" s="272"/>
      <c r="C155" s="274"/>
      <c r="D155" s="272"/>
      <c r="E155" s="271"/>
      <c r="F155" s="271"/>
      <c r="G155" s="60" t="s">
        <v>283</v>
      </c>
    </row>
    <row r="156" spans="2:7" s="4" customFormat="1" x14ac:dyDescent="0.25">
      <c r="B156" s="272"/>
      <c r="C156" s="274"/>
      <c r="D156" s="272"/>
      <c r="E156" s="271"/>
      <c r="F156" s="271"/>
      <c r="G156" s="60" t="s">
        <v>284</v>
      </c>
    </row>
    <row r="157" spans="2:7" s="4" customFormat="1" ht="30.75" customHeight="1" x14ac:dyDescent="0.25">
      <c r="B157" s="272" t="s">
        <v>192</v>
      </c>
      <c r="C157" s="274" t="s">
        <v>843</v>
      </c>
      <c r="D157" s="272" t="s">
        <v>193</v>
      </c>
      <c r="E157" s="271" t="s">
        <v>198</v>
      </c>
      <c r="F157" s="276">
        <v>260000</v>
      </c>
      <c r="G157" s="60" t="s">
        <v>1027</v>
      </c>
    </row>
    <row r="158" spans="2:7" s="4" customFormat="1" x14ac:dyDescent="0.25">
      <c r="B158" s="272"/>
      <c r="C158" s="274"/>
      <c r="D158" s="272"/>
      <c r="E158" s="271"/>
      <c r="F158" s="271"/>
      <c r="G158" s="60" t="s">
        <v>1028</v>
      </c>
    </row>
    <row r="159" spans="2:7" s="4" customFormat="1" ht="30" x14ac:dyDescent="0.25">
      <c r="B159" s="272"/>
      <c r="C159" s="274"/>
      <c r="D159" s="272"/>
      <c r="E159" s="271"/>
      <c r="F159" s="271"/>
      <c r="G159" s="60" t="s">
        <v>285</v>
      </c>
    </row>
    <row r="160" spans="2:7" s="4" customFormat="1" x14ac:dyDescent="0.25">
      <c r="B160" s="272"/>
      <c r="C160" s="274"/>
      <c r="D160" s="272"/>
      <c r="E160" s="271"/>
      <c r="F160" s="271"/>
      <c r="G160" s="60" t="s">
        <v>286</v>
      </c>
    </row>
    <row r="161" spans="2:7" s="4" customFormat="1" ht="46.5" customHeight="1" x14ac:dyDescent="0.25">
      <c r="B161" s="272" t="s">
        <v>194</v>
      </c>
      <c r="C161" s="274" t="s">
        <v>844</v>
      </c>
      <c r="D161" s="272" t="s">
        <v>195</v>
      </c>
      <c r="E161" s="271">
        <v>0</v>
      </c>
      <c r="F161" s="271">
        <v>20</v>
      </c>
      <c r="G161" s="60" t="s">
        <v>287</v>
      </c>
    </row>
    <row r="162" spans="2:7" s="4" customFormat="1" x14ac:dyDescent="0.25">
      <c r="B162" s="272"/>
      <c r="C162" s="274"/>
      <c r="D162" s="272"/>
      <c r="E162" s="271"/>
      <c r="F162" s="271"/>
      <c r="G162" s="60" t="s">
        <v>288</v>
      </c>
    </row>
    <row r="163" spans="2:7" s="4" customFormat="1" x14ac:dyDescent="0.25">
      <c r="B163" s="272"/>
      <c r="C163" s="274"/>
      <c r="D163" s="272"/>
      <c r="E163" s="271"/>
      <c r="F163" s="271"/>
      <c r="G163" s="60" t="s">
        <v>120</v>
      </c>
    </row>
    <row r="164" spans="2:7" s="4" customFormat="1" x14ac:dyDescent="0.25">
      <c r="B164" s="272"/>
      <c r="C164" s="274"/>
      <c r="D164" s="272"/>
      <c r="E164" s="271"/>
      <c r="F164" s="271"/>
      <c r="G164" s="60" t="s">
        <v>121</v>
      </c>
    </row>
    <row r="165" spans="2:7" s="4" customFormat="1" ht="46.5" customHeight="1" x14ac:dyDescent="0.25">
      <c r="B165" s="272" t="s">
        <v>196</v>
      </c>
      <c r="C165" s="274" t="s">
        <v>844</v>
      </c>
      <c r="D165" s="272" t="s">
        <v>197</v>
      </c>
      <c r="E165" s="271" t="s">
        <v>199</v>
      </c>
      <c r="F165" s="271">
        <v>2.8</v>
      </c>
      <c r="G165" s="60" t="s">
        <v>1036</v>
      </c>
    </row>
    <row r="166" spans="2:7" s="4" customFormat="1" x14ac:dyDescent="0.25">
      <c r="B166" s="272"/>
      <c r="C166" s="274"/>
      <c r="D166" s="272"/>
      <c r="E166" s="271"/>
      <c r="F166" s="271"/>
      <c r="G166" s="60" t="s">
        <v>1037</v>
      </c>
    </row>
    <row r="167" spans="2:7" s="4" customFormat="1" x14ac:dyDescent="0.25">
      <c r="B167" s="272"/>
      <c r="C167" s="274"/>
      <c r="D167" s="272"/>
      <c r="E167" s="271"/>
      <c r="F167" s="271"/>
      <c r="G167" s="60" t="s">
        <v>289</v>
      </c>
    </row>
    <row r="168" spans="2:7" s="4" customFormat="1" x14ac:dyDescent="0.25">
      <c r="B168" s="272"/>
      <c r="C168" s="274"/>
      <c r="D168" s="272"/>
      <c r="E168" s="271"/>
      <c r="F168" s="271"/>
      <c r="G168" s="60" t="s">
        <v>329</v>
      </c>
    </row>
    <row r="169" spans="2:7" s="4" customFormat="1" ht="45" x14ac:dyDescent="0.25">
      <c r="B169" s="33"/>
      <c r="C169" s="33" t="s">
        <v>200</v>
      </c>
      <c r="D169" s="33"/>
      <c r="E169" s="33"/>
      <c r="F169" s="33"/>
      <c r="G169" s="33"/>
    </row>
    <row r="170" spans="2:7" s="4" customFormat="1" ht="46.5" customHeight="1" x14ac:dyDescent="0.25">
      <c r="B170" s="272" t="s">
        <v>201</v>
      </c>
      <c r="C170" s="275" t="s">
        <v>845</v>
      </c>
      <c r="D170" s="272" t="s">
        <v>203</v>
      </c>
      <c r="E170" s="271" t="s">
        <v>141</v>
      </c>
      <c r="F170" s="271">
        <v>50</v>
      </c>
      <c r="G170" s="60" t="s">
        <v>330</v>
      </c>
    </row>
    <row r="171" spans="2:7" s="4" customFormat="1" x14ac:dyDescent="0.25">
      <c r="B171" s="272"/>
      <c r="C171" s="275"/>
      <c r="D171" s="272"/>
      <c r="E171" s="271"/>
      <c r="F171" s="271"/>
      <c r="G171" s="60" t="s">
        <v>290</v>
      </c>
    </row>
    <row r="172" spans="2:7" s="4" customFormat="1" x14ac:dyDescent="0.25">
      <c r="B172" s="272"/>
      <c r="C172" s="275"/>
      <c r="D172" s="272"/>
      <c r="E172" s="271"/>
      <c r="F172" s="271"/>
      <c r="G172" s="60" t="s">
        <v>291</v>
      </c>
    </row>
    <row r="173" spans="2:7" s="4" customFormat="1" x14ac:dyDescent="0.25">
      <c r="B173" s="272"/>
      <c r="C173" s="275"/>
      <c r="D173" s="272"/>
      <c r="E173" s="271"/>
      <c r="F173" s="271"/>
      <c r="G173" s="60" t="s">
        <v>292</v>
      </c>
    </row>
    <row r="174" spans="2:7" s="4" customFormat="1" ht="141" customHeight="1" x14ac:dyDescent="0.25">
      <c r="B174" s="272" t="s">
        <v>202</v>
      </c>
      <c r="C174" s="275" t="s">
        <v>863</v>
      </c>
      <c r="D174" s="272" t="s">
        <v>204</v>
      </c>
      <c r="E174" s="271" t="s">
        <v>205</v>
      </c>
      <c r="F174" s="271">
        <v>20</v>
      </c>
      <c r="G174" s="60" t="s">
        <v>287</v>
      </c>
    </row>
    <row r="175" spans="2:7" s="4" customFormat="1" x14ac:dyDescent="0.25">
      <c r="B175" s="272"/>
      <c r="C175" s="275"/>
      <c r="D175" s="272"/>
      <c r="E175" s="271"/>
      <c r="F175" s="271"/>
      <c r="G175" s="60" t="s">
        <v>293</v>
      </c>
    </row>
    <row r="176" spans="2:7" s="4" customFormat="1" x14ac:dyDescent="0.25">
      <c r="B176" s="272"/>
      <c r="C176" s="275"/>
      <c r="D176" s="272"/>
      <c r="E176" s="271"/>
      <c r="F176" s="271"/>
      <c r="G176" s="60" t="s">
        <v>294</v>
      </c>
    </row>
    <row r="177" spans="2:7" s="4" customFormat="1" x14ac:dyDescent="0.25">
      <c r="B177" s="272"/>
      <c r="C177" s="275"/>
      <c r="D177" s="272"/>
      <c r="E177" s="271"/>
      <c r="F177" s="271"/>
      <c r="G177" s="60" t="s">
        <v>295</v>
      </c>
    </row>
    <row r="178" spans="2:7" s="4" customFormat="1" ht="45" x14ac:dyDescent="0.25">
      <c r="B178" s="33"/>
      <c r="C178" s="33" t="s">
        <v>206</v>
      </c>
      <c r="D178" s="33"/>
      <c r="E178" s="33"/>
      <c r="F178" s="33"/>
      <c r="G178" s="33"/>
    </row>
    <row r="179" spans="2:7" s="4" customFormat="1" ht="109.5" customHeight="1" x14ac:dyDescent="0.25">
      <c r="B179" s="272" t="s">
        <v>207</v>
      </c>
      <c r="C179" s="274" t="s">
        <v>846</v>
      </c>
      <c r="D179" s="272" t="s">
        <v>208</v>
      </c>
      <c r="E179" s="271" t="s">
        <v>141</v>
      </c>
      <c r="F179" s="271">
        <v>10</v>
      </c>
      <c r="G179" s="60" t="s">
        <v>324</v>
      </c>
    </row>
    <row r="180" spans="2:7" s="4" customFormat="1" x14ac:dyDescent="0.25">
      <c r="B180" s="272"/>
      <c r="C180" s="274"/>
      <c r="D180" s="272"/>
      <c r="E180" s="271"/>
      <c r="F180" s="271"/>
      <c r="G180" s="60" t="s">
        <v>296</v>
      </c>
    </row>
    <row r="181" spans="2:7" s="4" customFormat="1" x14ac:dyDescent="0.25">
      <c r="B181" s="272"/>
      <c r="C181" s="274"/>
      <c r="D181" s="272"/>
      <c r="E181" s="271"/>
      <c r="F181" s="271"/>
      <c r="G181" s="60" t="s">
        <v>297</v>
      </c>
    </row>
    <row r="182" spans="2:7" s="4" customFormat="1" x14ac:dyDescent="0.25">
      <c r="B182" s="272"/>
      <c r="C182" s="274"/>
      <c r="D182" s="272"/>
      <c r="E182" s="271"/>
      <c r="F182" s="271"/>
      <c r="G182" s="60" t="s">
        <v>298</v>
      </c>
    </row>
    <row r="183" spans="2:7" s="4" customFormat="1" ht="109.5" customHeight="1" x14ac:dyDescent="0.25">
      <c r="B183" s="272" t="s">
        <v>209</v>
      </c>
      <c r="C183" s="274" t="s">
        <v>846</v>
      </c>
      <c r="D183" s="272" t="s">
        <v>210</v>
      </c>
      <c r="E183" s="271" t="s">
        <v>222</v>
      </c>
      <c r="F183" s="271">
        <v>200</v>
      </c>
      <c r="G183" s="60" t="s">
        <v>261</v>
      </c>
    </row>
    <row r="184" spans="2:7" s="4" customFormat="1" x14ac:dyDescent="0.25">
      <c r="B184" s="272"/>
      <c r="C184" s="274"/>
      <c r="D184" s="272"/>
      <c r="E184" s="271"/>
      <c r="F184" s="271"/>
      <c r="G184" s="60" t="s">
        <v>299</v>
      </c>
    </row>
    <row r="185" spans="2:7" s="4" customFormat="1" ht="30" x14ac:dyDescent="0.25">
      <c r="B185" s="272"/>
      <c r="C185" s="274"/>
      <c r="D185" s="272"/>
      <c r="E185" s="271"/>
      <c r="F185" s="271"/>
      <c r="G185" s="60" t="s">
        <v>300</v>
      </c>
    </row>
    <row r="186" spans="2:7" s="4" customFormat="1" x14ac:dyDescent="0.25">
      <c r="B186" s="272"/>
      <c r="C186" s="274"/>
      <c r="D186" s="272"/>
      <c r="E186" s="271"/>
      <c r="F186" s="271"/>
      <c r="G186" s="60" t="s">
        <v>331</v>
      </c>
    </row>
    <row r="187" spans="2:7" s="4" customFormat="1" ht="93.75" customHeight="1" x14ac:dyDescent="0.25">
      <c r="B187" s="272" t="s">
        <v>211</v>
      </c>
      <c r="C187" s="274" t="s">
        <v>847</v>
      </c>
      <c r="D187" s="272" t="s">
        <v>212</v>
      </c>
      <c r="E187" s="271" t="s">
        <v>223</v>
      </c>
      <c r="F187" s="271">
        <v>0.01</v>
      </c>
      <c r="G187" s="60" t="s">
        <v>301</v>
      </c>
    </row>
    <row r="188" spans="2:7" s="4" customFormat="1" x14ac:dyDescent="0.25">
      <c r="B188" s="272"/>
      <c r="C188" s="274"/>
      <c r="D188" s="272"/>
      <c r="E188" s="271"/>
      <c r="F188" s="271"/>
      <c r="G188" s="60" t="s">
        <v>302</v>
      </c>
    </row>
    <row r="189" spans="2:7" s="4" customFormat="1" ht="30" x14ac:dyDescent="0.25">
      <c r="B189" s="272"/>
      <c r="C189" s="274"/>
      <c r="D189" s="272"/>
      <c r="E189" s="271"/>
      <c r="F189" s="271"/>
      <c r="G189" s="60" t="s">
        <v>303</v>
      </c>
    </row>
    <row r="190" spans="2:7" s="4" customFormat="1" x14ac:dyDescent="0.25">
      <c r="B190" s="272"/>
      <c r="C190" s="274"/>
      <c r="D190" s="272"/>
      <c r="E190" s="271"/>
      <c r="F190" s="271"/>
      <c r="G190" s="60" t="s">
        <v>304</v>
      </c>
    </row>
    <row r="191" spans="2:7" s="4" customFormat="1" ht="46.5" customHeight="1" x14ac:dyDescent="0.25">
      <c r="B191" s="272" t="s">
        <v>213</v>
      </c>
      <c r="C191" s="274" t="s">
        <v>847</v>
      </c>
      <c r="D191" s="272" t="s">
        <v>214</v>
      </c>
      <c r="E191" s="271" t="s">
        <v>141</v>
      </c>
      <c r="F191" s="271">
        <v>250</v>
      </c>
      <c r="G191" s="60" t="s">
        <v>1065</v>
      </c>
    </row>
    <row r="192" spans="2:7" s="4" customFormat="1" x14ac:dyDescent="0.25">
      <c r="B192" s="272"/>
      <c r="C192" s="274"/>
      <c r="D192" s="272"/>
      <c r="E192" s="271"/>
      <c r="F192" s="271"/>
      <c r="G192" s="60" t="s">
        <v>1066</v>
      </c>
    </row>
    <row r="193" spans="2:7" s="4" customFormat="1" x14ac:dyDescent="0.25">
      <c r="B193" s="272"/>
      <c r="C193" s="274"/>
      <c r="D193" s="272"/>
      <c r="E193" s="271"/>
      <c r="F193" s="271"/>
      <c r="G193" s="60" t="s">
        <v>305</v>
      </c>
    </row>
    <row r="194" spans="2:7" s="4" customFormat="1" x14ac:dyDescent="0.25">
      <c r="B194" s="272"/>
      <c r="C194" s="274"/>
      <c r="D194" s="272"/>
      <c r="E194" s="271"/>
      <c r="F194" s="271"/>
      <c r="G194" s="60" t="s">
        <v>306</v>
      </c>
    </row>
    <row r="195" spans="2:7" s="4" customFormat="1" ht="46.5" customHeight="1" x14ac:dyDescent="0.25">
      <c r="B195" s="272" t="s">
        <v>215</v>
      </c>
      <c r="C195" s="274" t="s">
        <v>848</v>
      </c>
      <c r="D195" s="272" t="s">
        <v>216</v>
      </c>
      <c r="E195" s="271" t="s">
        <v>141</v>
      </c>
      <c r="F195" s="271">
        <v>350</v>
      </c>
      <c r="G195" s="60" t="s">
        <v>1080</v>
      </c>
    </row>
    <row r="196" spans="2:7" s="4" customFormat="1" x14ac:dyDescent="0.25">
      <c r="B196" s="272"/>
      <c r="C196" s="274"/>
      <c r="D196" s="272"/>
      <c r="E196" s="271"/>
      <c r="F196" s="271"/>
      <c r="G196" s="60" t="s">
        <v>1081</v>
      </c>
    </row>
    <row r="197" spans="2:7" s="4" customFormat="1" x14ac:dyDescent="0.25">
      <c r="B197" s="272"/>
      <c r="C197" s="274"/>
      <c r="D197" s="272"/>
      <c r="E197" s="271"/>
      <c r="F197" s="271"/>
      <c r="G197" s="60" t="s">
        <v>307</v>
      </c>
    </row>
    <row r="198" spans="2:7" s="4" customFormat="1" x14ac:dyDescent="0.25">
      <c r="B198" s="272"/>
      <c r="C198" s="274"/>
      <c r="D198" s="272"/>
      <c r="E198" s="271"/>
      <c r="F198" s="271"/>
      <c r="G198" s="60" t="s">
        <v>308</v>
      </c>
    </row>
    <row r="199" spans="2:7" s="4" customFormat="1" ht="405" x14ac:dyDescent="0.25">
      <c r="B199" s="60" t="s">
        <v>217</v>
      </c>
      <c r="C199" s="63" t="s">
        <v>848</v>
      </c>
      <c r="D199" s="64" t="s">
        <v>168</v>
      </c>
      <c r="E199" s="33" t="s">
        <v>141</v>
      </c>
      <c r="F199" s="33" t="s">
        <v>141</v>
      </c>
      <c r="G199" s="64" t="s">
        <v>264</v>
      </c>
    </row>
    <row r="200" spans="2:7" s="4" customFormat="1" ht="46.5" customHeight="1" x14ac:dyDescent="0.25">
      <c r="B200" s="272" t="s">
        <v>218</v>
      </c>
      <c r="C200" s="274" t="s">
        <v>848</v>
      </c>
      <c r="D200" s="272" t="s">
        <v>219</v>
      </c>
      <c r="E200" s="271" t="s">
        <v>141</v>
      </c>
      <c r="F200" s="271">
        <v>35</v>
      </c>
      <c r="G200" s="60" t="s">
        <v>1095</v>
      </c>
    </row>
    <row r="201" spans="2:7" s="4" customFormat="1" x14ac:dyDescent="0.25">
      <c r="B201" s="272"/>
      <c r="C201" s="274"/>
      <c r="D201" s="272"/>
      <c r="E201" s="271"/>
      <c r="F201" s="271"/>
      <c r="G201" s="60" t="s">
        <v>1096</v>
      </c>
    </row>
    <row r="202" spans="2:7" s="4" customFormat="1" x14ac:dyDescent="0.25">
      <c r="B202" s="272"/>
      <c r="C202" s="274"/>
      <c r="D202" s="272"/>
      <c r="E202" s="271"/>
      <c r="F202" s="271"/>
      <c r="G202" s="60" t="s">
        <v>120</v>
      </c>
    </row>
    <row r="203" spans="2:7" s="4" customFormat="1" x14ac:dyDescent="0.25">
      <c r="B203" s="272"/>
      <c r="C203" s="274"/>
      <c r="D203" s="272"/>
      <c r="E203" s="271"/>
      <c r="F203" s="271"/>
      <c r="G203" s="60" t="s">
        <v>121</v>
      </c>
    </row>
    <row r="204" spans="2:7" s="4" customFormat="1" ht="46.5" customHeight="1" x14ac:dyDescent="0.25">
      <c r="B204" s="272" t="s">
        <v>220</v>
      </c>
      <c r="C204" s="274" t="s">
        <v>849</v>
      </c>
      <c r="D204" s="272" t="s">
        <v>221</v>
      </c>
      <c r="E204" s="271" t="s">
        <v>141</v>
      </c>
      <c r="F204" s="271">
        <v>43</v>
      </c>
      <c r="G204" s="60" t="s">
        <v>332</v>
      </c>
    </row>
    <row r="205" spans="2:7" s="4" customFormat="1" x14ac:dyDescent="0.25">
      <c r="B205" s="272"/>
      <c r="C205" s="274"/>
      <c r="D205" s="272"/>
      <c r="E205" s="271"/>
      <c r="F205" s="271"/>
      <c r="G205" s="60" t="s">
        <v>309</v>
      </c>
    </row>
    <row r="206" spans="2:7" s="4" customFormat="1" x14ac:dyDescent="0.25">
      <c r="B206" s="272"/>
      <c r="C206" s="274"/>
      <c r="D206" s="272"/>
      <c r="E206" s="271"/>
      <c r="F206" s="271"/>
      <c r="G206" s="60" t="s">
        <v>310</v>
      </c>
    </row>
    <row r="207" spans="2:7" s="4" customFormat="1" x14ac:dyDescent="0.25">
      <c r="B207" s="272"/>
      <c r="C207" s="274"/>
      <c r="D207" s="272"/>
      <c r="E207" s="271"/>
      <c r="F207" s="271"/>
      <c r="G207" s="60" t="s">
        <v>311</v>
      </c>
    </row>
    <row r="208" spans="2:7" s="4" customFormat="1" ht="75" x14ac:dyDescent="0.25">
      <c r="B208" s="33"/>
      <c r="C208" s="33" t="s">
        <v>224</v>
      </c>
      <c r="D208" s="33"/>
      <c r="E208" s="33"/>
      <c r="F208" s="33"/>
      <c r="G208" s="37"/>
    </row>
    <row r="209" spans="2:7" s="4" customFormat="1" ht="219.75" customHeight="1" x14ac:dyDescent="0.25">
      <c r="B209" s="272" t="s">
        <v>225</v>
      </c>
      <c r="C209" s="273" t="s">
        <v>850</v>
      </c>
      <c r="D209" s="272" t="s">
        <v>226</v>
      </c>
      <c r="E209" s="271" t="s">
        <v>141</v>
      </c>
      <c r="F209" s="271">
        <v>228</v>
      </c>
      <c r="G209" s="60" t="s">
        <v>1113</v>
      </c>
    </row>
    <row r="210" spans="2:7" s="4" customFormat="1" x14ac:dyDescent="0.25">
      <c r="B210" s="272"/>
      <c r="C210" s="273"/>
      <c r="D210" s="272"/>
      <c r="E210" s="271"/>
      <c r="F210" s="271"/>
      <c r="G210" s="60" t="s">
        <v>1114</v>
      </c>
    </row>
    <row r="211" spans="2:7" s="4" customFormat="1" x14ac:dyDescent="0.25">
      <c r="B211" s="272"/>
      <c r="C211" s="273"/>
      <c r="D211" s="272"/>
      <c r="E211" s="271"/>
      <c r="F211" s="271"/>
      <c r="G211" s="60" t="s">
        <v>312</v>
      </c>
    </row>
    <row r="212" spans="2:7" s="4" customFormat="1" x14ac:dyDescent="0.25">
      <c r="B212" s="272"/>
      <c r="C212" s="273"/>
      <c r="D212" s="272"/>
      <c r="E212" s="271"/>
      <c r="F212" s="271"/>
      <c r="G212" s="60" t="s">
        <v>313</v>
      </c>
    </row>
    <row r="213" spans="2:7" s="4" customFormat="1" ht="30.75" customHeight="1" x14ac:dyDescent="0.25">
      <c r="B213" s="272" t="s">
        <v>227</v>
      </c>
      <c r="C213" s="274" t="s">
        <v>851</v>
      </c>
      <c r="D213" s="272" t="s">
        <v>228</v>
      </c>
      <c r="E213" s="271">
        <v>0</v>
      </c>
      <c r="F213" s="271">
        <v>10</v>
      </c>
      <c r="G213" s="60" t="s">
        <v>324</v>
      </c>
    </row>
    <row r="214" spans="2:7" s="4" customFormat="1" x14ac:dyDescent="0.25">
      <c r="B214" s="272"/>
      <c r="C214" s="274"/>
      <c r="D214" s="272"/>
      <c r="E214" s="271"/>
      <c r="F214" s="271"/>
      <c r="G214" s="60" t="s">
        <v>296</v>
      </c>
    </row>
    <row r="215" spans="2:7" s="4" customFormat="1" x14ac:dyDescent="0.25">
      <c r="B215" s="272"/>
      <c r="C215" s="274"/>
      <c r="D215" s="272"/>
      <c r="E215" s="271"/>
      <c r="F215" s="271"/>
      <c r="G215" s="60" t="s">
        <v>297</v>
      </c>
    </row>
    <row r="216" spans="2:7" s="4" customFormat="1" x14ac:dyDescent="0.25">
      <c r="B216" s="272"/>
      <c r="C216" s="274"/>
      <c r="D216" s="272"/>
      <c r="E216" s="271"/>
      <c r="F216" s="271"/>
      <c r="G216" s="60" t="s">
        <v>298</v>
      </c>
    </row>
    <row r="217" spans="2:7" ht="54" customHeight="1" x14ac:dyDescent="0.25">
      <c r="B217" s="283" t="s">
        <v>15</v>
      </c>
      <c r="C217" s="283"/>
      <c r="D217" s="283"/>
      <c r="E217" s="283"/>
      <c r="F217" s="283"/>
      <c r="G217" s="283"/>
    </row>
  </sheetData>
  <mergeCells count="234">
    <mergeCell ref="C14:C17"/>
    <mergeCell ref="D14:D17"/>
    <mergeCell ref="E14:E17"/>
    <mergeCell ref="F14:F17"/>
    <mergeCell ref="F1:G1"/>
    <mergeCell ref="F2:G2"/>
    <mergeCell ref="F3:G3"/>
    <mergeCell ref="B5:G5"/>
    <mergeCell ref="B7:G7"/>
    <mergeCell ref="B9:G9"/>
    <mergeCell ref="B14:B17"/>
    <mergeCell ref="B217:G217"/>
    <mergeCell ref="B67:B70"/>
    <mergeCell ref="C67:C70"/>
    <mergeCell ref="D67:D70"/>
    <mergeCell ref="E67:E70"/>
    <mergeCell ref="F67:F70"/>
    <mergeCell ref="B18:B21"/>
    <mergeCell ref="C18:C21"/>
    <mergeCell ref="D18:D21"/>
    <mergeCell ref="E18:E21"/>
    <mergeCell ref="F18:F21"/>
    <mergeCell ref="B22:B25"/>
    <mergeCell ref="C22:C25"/>
    <mergeCell ref="B31:B34"/>
    <mergeCell ref="C31:C34"/>
    <mergeCell ref="D31:D34"/>
    <mergeCell ref="D22:D25"/>
    <mergeCell ref="E22:E25"/>
    <mergeCell ref="B35:B38"/>
    <mergeCell ref="C35:C38"/>
    <mergeCell ref="D35:D38"/>
    <mergeCell ref="B39:B42"/>
    <mergeCell ref="C39:C42"/>
    <mergeCell ref="D39:D42"/>
    <mergeCell ref="E39:E42"/>
    <mergeCell ref="F39:F42"/>
    <mergeCell ref="E43:E46"/>
    <mergeCell ref="F43:F46"/>
    <mergeCell ref="E31:E34"/>
    <mergeCell ref="F31:F34"/>
    <mergeCell ref="E35:E38"/>
    <mergeCell ref="F35:F38"/>
    <mergeCell ref="F22:F25"/>
    <mergeCell ref="B26:B29"/>
    <mergeCell ref="C26:C29"/>
    <mergeCell ref="D26:D29"/>
    <mergeCell ref="E26:E29"/>
    <mergeCell ref="F26:F29"/>
    <mergeCell ref="B43:B46"/>
    <mergeCell ref="C43:C46"/>
    <mergeCell ref="D43:D46"/>
    <mergeCell ref="F84:F87"/>
    <mergeCell ref="E84:E87"/>
    <mergeCell ref="B80:B83"/>
    <mergeCell ref="C80:C83"/>
    <mergeCell ref="D80:D83"/>
    <mergeCell ref="F80:F83"/>
    <mergeCell ref="E80:E83"/>
    <mergeCell ref="F71:F74"/>
    <mergeCell ref="E71:E74"/>
    <mergeCell ref="B75:B78"/>
    <mergeCell ref="C75:C78"/>
    <mergeCell ref="D75:D78"/>
    <mergeCell ref="F75:F78"/>
    <mergeCell ref="E75:E78"/>
    <mergeCell ref="B71:B74"/>
    <mergeCell ref="C71:C74"/>
    <mergeCell ref="D71:D74"/>
    <mergeCell ref="B60:G60"/>
    <mergeCell ref="B61:G61"/>
    <mergeCell ref="B56:B59"/>
    <mergeCell ref="C56:C59"/>
    <mergeCell ref="D56:D59"/>
    <mergeCell ref="F56:F59"/>
    <mergeCell ref="E56:E59"/>
    <mergeCell ref="E47:E50"/>
    <mergeCell ref="E52:E55"/>
    <mergeCell ref="B47:B50"/>
    <mergeCell ref="C47:C50"/>
    <mergeCell ref="D47:D50"/>
    <mergeCell ref="F47:F50"/>
    <mergeCell ref="B52:B55"/>
    <mergeCell ref="C52:C55"/>
    <mergeCell ref="D52:D55"/>
    <mergeCell ref="F52:F55"/>
    <mergeCell ref="B89:B92"/>
    <mergeCell ref="C89:C92"/>
    <mergeCell ref="D89:D92"/>
    <mergeCell ref="B93:B96"/>
    <mergeCell ref="C93:C96"/>
    <mergeCell ref="D93:D96"/>
    <mergeCell ref="B84:B87"/>
    <mergeCell ref="C84:C87"/>
    <mergeCell ref="D84:D87"/>
    <mergeCell ref="B110:B113"/>
    <mergeCell ref="C110:C113"/>
    <mergeCell ref="D110:D113"/>
    <mergeCell ref="E110:E113"/>
    <mergeCell ref="F110:F113"/>
    <mergeCell ref="B105:B108"/>
    <mergeCell ref="C105:C108"/>
    <mergeCell ref="D105:D108"/>
    <mergeCell ref="F89:F92"/>
    <mergeCell ref="F93:F96"/>
    <mergeCell ref="F97:F100"/>
    <mergeCell ref="F101:F104"/>
    <mergeCell ref="F105:F108"/>
    <mergeCell ref="E105:E108"/>
    <mergeCell ref="E101:E104"/>
    <mergeCell ref="E97:E100"/>
    <mergeCell ref="E93:E96"/>
    <mergeCell ref="E89:E92"/>
    <mergeCell ref="B97:B100"/>
    <mergeCell ref="C97:C100"/>
    <mergeCell ref="D97:D100"/>
    <mergeCell ref="B101:B104"/>
    <mergeCell ref="C101:C104"/>
    <mergeCell ref="D101:D104"/>
    <mergeCell ref="F114:F117"/>
    <mergeCell ref="F118:F121"/>
    <mergeCell ref="E118:E121"/>
    <mergeCell ref="E114:E117"/>
    <mergeCell ref="B114:B117"/>
    <mergeCell ref="C114:C117"/>
    <mergeCell ref="D114:D117"/>
    <mergeCell ref="B118:B121"/>
    <mergeCell ref="C118:C121"/>
    <mergeCell ref="D118:D121"/>
    <mergeCell ref="F123:F126"/>
    <mergeCell ref="E123:E126"/>
    <mergeCell ref="F128:F131"/>
    <mergeCell ref="E128:E131"/>
    <mergeCell ref="B123:B126"/>
    <mergeCell ref="C123:C126"/>
    <mergeCell ref="D123:D126"/>
    <mergeCell ref="B128:B131"/>
    <mergeCell ref="C128:C131"/>
    <mergeCell ref="D128:D131"/>
    <mergeCell ref="F138:F141"/>
    <mergeCell ref="E138:E141"/>
    <mergeCell ref="F134:F137"/>
    <mergeCell ref="E134:E137"/>
    <mergeCell ref="B142:B145"/>
    <mergeCell ref="C142:C145"/>
    <mergeCell ref="D142:D145"/>
    <mergeCell ref="E142:E145"/>
    <mergeCell ref="F142:F145"/>
    <mergeCell ref="B134:B137"/>
    <mergeCell ref="C134:C137"/>
    <mergeCell ref="D134:D137"/>
    <mergeCell ref="B138:B141"/>
    <mergeCell ref="C138:C141"/>
    <mergeCell ref="D138:D141"/>
    <mergeCell ref="B153:B156"/>
    <mergeCell ref="C153:C156"/>
    <mergeCell ref="D153:D156"/>
    <mergeCell ref="F153:F156"/>
    <mergeCell ref="E153:E156"/>
    <mergeCell ref="B147:B150"/>
    <mergeCell ref="C147:C150"/>
    <mergeCell ref="D147:D150"/>
    <mergeCell ref="F147:F150"/>
    <mergeCell ref="E147:E150"/>
    <mergeCell ref="B165:B168"/>
    <mergeCell ref="C165:C168"/>
    <mergeCell ref="D165:D168"/>
    <mergeCell ref="F157:F160"/>
    <mergeCell ref="F161:F164"/>
    <mergeCell ref="F165:F168"/>
    <mergeCell ref="E165:E168"/>
    <mergeCell ref="E161:E164"/>
    <mergeCell ref="E157:E160"/>
    <mergeCell ref="B157:B160"/>
    <mergeCell ref="C157:C160"/>
    <mergeCell ref="D157:D160"/>
    <mergeCell ref="B161:B164"/>
    <mergeCell ref="C161:C164"/>
    <mergeCell ref="D161:D164"/>
    <mergeCell ref="B183:B186"/>
    <mergeCell ref="C183:C186"/>
    <mergeCell ref="D183:D186"/>
    <mergeCell ref="B187:B190"/>
    <mergeCell ref="C187:C190"/>
    <mergeCell ref="D187:D190"/>
    <mergeCell ref="F170:F173"/>
    <mergeCell ref="F174:F177"/>
    <mergeCell ref="E174:E177"/>
    <mergeCell ref="E170:E173"/>
    <mergeCell ref="B179:B182"/>
    <mergeCell ref="C179:C182"/>
    <mergeCell ref="D179:D182"/>
    <mergeCell ref="B170:B173"/>
    <mergeCell ref="C170:C173"/>
    <mergeCell ref="B174:B177"/>
    <mergeCell ref="C174:C177"/>
    <mergeCell ref="D170:D173"/>
    <mergeCell ref="D174:D177"/>
    <mergeCell ref="B200:B203"/>
    <mergeCell ref="C200:C203"/>
    <mergeCell ref="D200:D203"/>
    <mergeCell ref="B204:B207"/>
    <mergeCell ref="C204:C207"/>
    <mergeCell ref="D204:D207"/>
    <mergeCell ref="B191:B194"/>
    <mergeCell ref="C191:C194"/>
    <mergeCell ref="D191:D194"/>
    <mergeCell ref="B195:B198"/>
    <mergeCell ref="C195:C198"/>
    <mergeCell ref="D195:D198"/>
    <mergeCell ref="E200:E203"/>
    <mergeCell ref="F200:F203"/>
    <mergeCell ref="E204:E207"/>
    <mergeCell ref="F204:F207"/>
    <mergeCell ref="E183:E186"/>
    <mergeCell ref="F183:F186"/>
    <mergeCell ref="F179:F182"/>
    <mergeCell ref="E179:E182"/>
    <mergeCell ref="E195:E198"/>
    <mergeCell ref="F195:F198"/>
    <mergeCell ref="F191:F194"/>
    <mergeCell ref="E191:E194"/>
    <mergeCell ref="F187:F190"/>
    <mergeCell ref="E187:E190"/>
    <mergeCell ref="E209:E212"/>
    <mergeCell ref="F209:F212"/>
    <mergeCell ref="F213:F216"/>
    <mergeCell ref="E213:E216"/>
    <mergeCell ref="B209:B212"/>
    <mergeCell ref="C209:C212"/>
    <mergeCell ref="D209:D212"/>
    <mergeCell ref="B213:B216"/>
    <mergeCell ref="C213:C216"/>
    <mergeCell ref="D213:D216"/>
  </mergeCells>
  <pageMargins left="0.7" right="0.7" top="0.75" bottom="0.75" header="0.3" footer="0.3"/>
  <pageSetup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6"/>
  <sheetViews>
    <sheetView zoomScaleNormal="100" workbookViewId="0">
      <selection activeCell="C130" sqref="C130:C132"/>
    </sheetView>
  </sheetViews>
  <sheetFormatPr defaultRowHeight="15" x14ac:dyDescent="0.25"/>
  <cols>
    <col min="1" max="1" width="4.28515625" style="4" customWidth="1"/>
    <col min="3" max="3" width="23" customWidth="1"/>
    <col min="4" max="4" width="7.7109375" customWidth="1"/>
    <col min="5" max="5" width="3.42578125" style="4" customWidth="1"/>
    <col min="6" max="11" width="14.140625" customWidth="1"/>
    <col min="12" max="14" width="6.85546875" customWidth="1"/>
  </cols>
  <sheetData>
    <row r="1" spans="2:14" ht="15.75" x14ac:dyDescent="0.25">
      <c r="K1" s="284" t="s">
        <v>52</v>
      </c>
      <c r="L1" s="284"/>
      <c r="M1" s="284"/>
      <c r="N1" s="284"/>
    </row>
    <row r="2" spans="2:14" ht="15.75" x14ac:dyDescent="0.25">
      <c r="K2" s="285" t="s">
        <v>0</v>
      </c>
      <c r="L2" s="285"/>
      <c r="M2" s="285"/>
      <c r="N2" s="285"/>
    </row>
    <row r="3" spans="2:14" ht="15.75" x14ac:dyDescent="0.25">
      <c r="K3" s="285" t="s">
        <v>16</v>
      </c>
      <c r="L3" s="285"/>
      <c r="M3" s="285"/>
      <c r="N3" s="285"/>
    </row>
    <row r="4" spans="2:14" ht="15.75" x14ac:dyDescent="0.25">
      <c r="B4" s="12"/>
      <c r="C4" s="6"/>
      <c r="D4" s="6"/>
      <c r="E4" s="6"/>
      <c r="F4" s="6"/>
      <c r="G4" s="6"/>
      <c r="H4" s="6"/>
      <c r="I4" s="6"/>
      <c r="J4" s="6"/>
      <c r="K4" s="6"/>
      <c r="L4" s="6"/>
      <c r="M4" s="6"/>
      <c r="N4" s="6"/>
    </row>
    <row r="5" spans="2:14" ht="15.75" customHeight="1" x14ac:dyDescent="0.25">
      <c r="B5" s="294" t="s">
        <v>17</v>
      </c>
      <c r="C5" s="294"/>
      <c r="D5" s="294"/>
      <c r="E5" s="294"/>
      <c r="F5" s="294"/>
      <c r="G5" s="294"/>
      <c r="H5" s="294"/>
      <c r="I5" s="294"/>
      <c r="J5" s="294"/>
      <c r="K5" s="294"/>
      <c r="L5" s="294"/>
      <c r="M5" s="294"/>
      <c r="N5" s="294"/>
    </row>
    <row r="6" spans="2:14" ht="15.75" x14ac:dyDescent="0.25">
      <c r="B6" s="1"/>
      <c r="C6" s="13"/>
      <c r="D6" s="13"/>
      <c r="E6" s="23"/>
      <c r="F6" s="13"/>
      <c r="G6" s="13"/>
      <c r="H6" s="13"/>
      <c r="I6" s="14"/>
      <c r="J6" s="13"/>
      <c r="K6" s="13"/>
      <c r="L6" s="13"/>
      <c r="M6" s="13"/>
      <c r="N6" s="13"/>
    </row>
    <row r="7" spans="2:14" x14ac:dyDescent="0.25">
      <c r="B7" s="29" t="s">
        <v>18</v>
      </c>
      <c r="C7" s="30"/>
      <c r="D7" s="30"/>
      <c r="E7" s="30"/>
      <c r="F7" s="31"/>
      <c r="G7" s="31"/>
      <c r="H7" s="31"/>
      <c r="I7" s="31"/>
      <c r="J7" s="31"/>
      <c r="K7" s="31"/>
      <c r="L7" s="31"/>
      <c r="M7" s="31"/>
      <c r="N7" s="31"/>
    </row>
    <row r="8" spans="2:14" ht="28.5" x14ac:dyDescent="0.25">
      <c r="B8" s="32" t="s">
        <v>1</v>
      </c>
      <c r="C8" s="32" t="s">
        <v>19</v>
      </c>
      <c r="D8" s="32" t="s">
        <v>2</v>
      </c>
      <c r="E8" s="32"/>
      <c r="F8" s="32">
        <v>2015</v>
      </c>
      <c r="G8" s="32">
        <v>2016</v>
      </c>
      <c r="H8" s="32">
        <v>2017</v>
      </c>
      <c r="I8" s="32">
        <v>2018</v>
      </c>
      <c r="J8" s="32">
        <v>2019</v>
      </c>
      <c r="K8" s="32">
        <v>2020</v>
      </c>
      <c r="L8" s="32">
        <v>2021</v>
      </c>
      <c r="M8" s="32">
        <v>2022</v>
      </c>
      <c r="N8" s="32">
        <v>2023</v>
      </c>
    </row>
    <row r="9" spans="2:14" ht="78" customHeight="1" x14ac:dyDescent="0.25">
      <c r="B9" s="289" t="s">
        <v>55</v>
      </c>
      <c r="C9" s="289" t="s">
        <v>56</v>
      </c>
      <c r="D9" s="289"/>
      <c r="E9" s="27" t="s">
        <v>333</v>
      </c>
      <c r="F9" s="28" t="s">
        <v>1138</v>
      </c>
      <c r="G9" s="28" t="s">
        <v>1139</v>
      </c>
      <c r="H9" s="28" t="s">
        <v>1140</v>
      </c>
      <c r="I9" s="28" t="s">
        <v>1141</v>
      </c>
      <c r="J9" s="28" t="s">
        <v>341</v>
      </c>
      <c r="K9" s="28">
        <v>100</v>
      </c>
      <c r="L9" s="27"/>
      <c r="M9" s="27"/>
      <c r="N9" s="27"/>
    </row>
    <row r="10" spans="2:14" x14ac:dyDescent="0.25">
      <c r="B10" s="289"/>
      <c r="C10" s="289"/>
      <c r="D10" s="289"/>
      <c r="E10" s="27" t="s">
        <v>334</v>
      </c>
      <c r="F10" s="28" t="s">
        <v>336</v>
      </c>
      <c r="G10" s="28" t="s">
        <v>337</v>
      </c>
      <c r="H10" s="28" t="s">
        <v>338</v>
      </c>
      <c r="I10" s="28" t="s">
        <v>339</v>
      </c>
      <c r="J10" s="28" t="s">
        <v>340</v>
      </c>
      <c r="K10" s="28" t="s">
        <v>341</v>
      </c>
      <c r="L10" s="27"/>
      <c r="M10" s="27"/>
      <c r="N10" s="27"/>
    </row>
    <row r="11" spans="2:14" x14ac:dyDescent="0.25">
      <c r="B11" s="289"/>
      <c r="C11" s="289"/>
      <c r="D11" s="289"/>
      <c r="E11" s="27" t="s">
        <v>335</v>
      </c>
      <c r="F11" s="28" t="s">
        <v>342</v>
      </c>
      <c r="G11" s="28" t="s">
        <v>343</v>
      </c>
      <c r="H11" s="28" t="s">
        <v>344</v>
      </c>
      <c r="I11" s="28" t="s">
        <v>345</v>
      </c>
      <c r="J11" s="28" t="s">
        <v>346</v>
      </c>
      <c r="K11" s="28" t="s">
        <v>347</v>
      </c>
      <c r="L11" s="27"/>
      <c r="M11" s="27"/>
      <c r="N11" s="27"/>
    </row>
    <row r="12" spans="2:14" ht="62.25" customHeight="1" x14ac:dyDescent="0.25">
      <c r="B12" s="289" t="s">
        <v>58</v>
      </c>
      <c r="C12" s="289" t="s">
        <v>59</v>
      </c>
      <c r="D12" s="289"/>
      <c r="E12" s="27" t="s">
        <v>333</v>
      </c>
      <c r="F12" s="28" t="s">
        <v>899</v>
      </c>
      <c r="G12" s="28" t="s">
        <v>902</v>
      </c>
      <c r="H12" s="28" t="s">
        <v>905</v>
      </c>
      <c r="I12" s="28" t="s">
        <v>908</v>
      </c>
      <c r="J12" s="28" t="s">
        <v>911</v>
      </c>
      <c r="K12" s="28" t="s">
        <v>914</v>
      </c>
      <c r="L12" s="27"/>
      <c r="M12" s="27"/>
      <c r="N12" s="27"/>
    </row>
    <row r="13" spans="2:14" x14ac:dyDescent="0.25">
      <c r="B13" s="289"/>
      <c r="C13" s="289"/>
      <c r="D13" s="289"/>
      <c r="E13" s="27" t="s">
        <v>334</v>
      </c>
      <c r="F13" s="28" t="s">
        <v>898</v>
      </c>
      <c r="G13" s="28" t="s">
        <v>901</v>
      </c>
      <c r="H13" s="28" t="s">
        <v>904</v>
      </c>
      <c r="I13" s="28" t="s">
        <v>907</v>
      </c>
      <c r="J13" s="28" t="s">
        <v>910</v>
      </c>
      <c r="K13" s="28" t="s">
        <v>913</v>
      </c>
      <c r="L13" s="27"/>
      <c r="M13" s="27"/>
      <c r="N13" s="27"/>
    </row>
    <row r="14" spans="2:14" x14ac:dyDescent="0.25">
      <c r="B14" s="289"/>
      <c r="C14" s="289"/>
      <c r="D14" s="289"/>
      <c r="E14" s="27" t="s">
        <v>335</v>
      </c>
      <c r="F14" s="28" t="s">
        <v>348</v>
      </c>
      <c r="G14" s="28" t="s">
        <v>900</v>
      </c>
      <c r="H14" s="28" t="s">
        <v>903</v>
      </c>
      <c r="I14" s="28" t="s">
        <v>906</v>
      </c>
      <c r="J14" s="28" t="s">
        <v>909</v>
      </c>
      <c r="K14" s="28" t="s">
        <v>912</v>
      </c>
      <c r="L14" s="27"/>
      <c r="M14" s="27"/>
      <c r="N14" s="27"/>
    </row>
    <row r="15" spans="2:14" ht="63.75" customHeight="1" x14ac:dyDescent="0.25">
      <c r="B15" s="289" t="s">
        <v>61</v>
      </c>
      <c r="C15" s="290" t="s">
        <v>429</v>
      </c>
      <c r="D15" s="293"/>
      <c r="E15" s="27" t="s">
        <v>333</v>
      </c>
      <c r="F15" s="28" t="s">
        <v>349</v>
      </c>
      <c r="G15" s="28" t="s">
        <v>350</v>
      </c>
      <c r="H15" s="28" t="s">
        <v>351</v>
      </c>
      <c r="I15" s="28" t="s">
        <v>923</v>
      </c>
      <c r="J15" s="28" t="s">
        <v>920</v>
      </c>
      <c r="K15" s="28" t="s">
        <v>917</v>
      </c>
      <c r="L15" s="32"/>
      <c r="M15" s="32"/>
      <c r="N15" s="32"/>
    </row>
    <row r="16" spans="2:14" s="4" customFormat="1" x14ac:dyDescent="0.25">
      <c r="B16" s="289"/>
      <c r="C16" s="290"/>
      <c r="D16" s="293"/>
      <c r="E16" s="27" t="s">
        <v>334</v>
      </c>
      <c r="F16" s="28" t="s">
        <v>352</v>
      </c>
      <c r="G16" s="28" t="s">
        <v>353</v>
      </c>
      <c r="H16" s="28" t="s">
        <v>354</v>
      </c>
      <c r="I16" s="28" t="s">
        <v>924</v>
      </c>
      <c r="J16" s="28" t="s">
        <v>921</v>
      </c>
      <c r="K16" s="28" t="s">
        <v>918</v>
      </c>
      <c r="L16" s="32"/>
      <c r="M16" s="32"/>
      <c r="N16" s="32"/>
    </row>
    <row r="17" spans="2:14" s="4" customFormat="1" x14ac:dyDescent="0.25">
      <c r="B17" s="289"/>
      <c r="C17" s="290"/>
      <c r="D17" s="293"/>
      <c r="E17" s="289" t="s">
        <v>335</v>
      </c>
      <c r="F17" s="290" t="s">
        <v>355</v>
      </c>
      <c r="G17" s="290" t="s">
        <v>356</v>
      </c>
      <c r="H17" s="290" t="s">
        <v>357</v>
      </c>
      <c r="I17" s="290" t="s">
        <v>358</v>
      </c>
      <c r="J17" s="290" t="s">
        <v>922</v>
      </c>
      <c r="K17" s="290" t="s">
        <v>919</v>
      </c>
      <c r="L17" s="293"/>
      <c r="M17" s="293"/>
      <c r="N17" s="293"/>
    </row>
    <row r="18" spans="2:14" s="4" customFormat="1" x14ac:dyDescent="0.25">
      <c r="B18" s="289"/>
      <c r="C18" s="290"/>
      <c r="D18" s="293"/>
      <c r="E18" s="289"/>
      <c r="F18" s="290"/>
      <c r="G18" s="290"/>
      <c r="H18" s="290"/>
      <c r="I18" s="290"/>
      <c r="J18" s="290"/>
      <c r="K18" s="290"/>
      <c r="L18" s="293"/>
      <c r="M18" s="293"/>
      <c r="N18" s="293"/>
    </row>
    <row r="19" spans="2:14" s="4" customFormat="1" ht="62.25" customHeight="1" x14ac:dyDescent="0.25">
      <c r="B19" s="289" t="s">
        <v>63</v>
      </c>
      <c r="C19" s="289" t="s">
        <v>64</v>
      </c>
      <c r="D19" s="289"/>
      <c r="E19" s="27" t="s">
        <v>333</v>
      </c>
      <c r="F19" s="28" t="s">
        <v>366</v>
      </c>
      <c r="G19" s="28" t="s">
        <v>367</v>
      </c>
      <c r="H19" s="28" t="s">
        <v>368</v>
      </c>
      <c r="I19" s="28" t="s">
        <v>933</v>
      </c>
      <c r="J19" s="28" t="s">
        <v>369</v>
      </c>
      <c r="K19" s="28" t="s">
        <v>928</v>
      </c>
      <c r="L19" s="32"/>
      <c r="M19" s="32"/>
      <c r="N19" s="32"/>
    </row>
    <row r="20" spans="2:14" s="4" customFormat="1" x14ac:dyDescent="0.25">
      <c r="B20" s="289"/>
      <c r="C20" s="289"/>
      <c r="D20" s="289"/>
      <c r="E20" s="27" t="s">
        <v>334</v>
      </c>
      <c r="F20" s="28" t="s">
        <v>359</v>
      </c>
      <c r="G20" s="28" t="s">
        <v>360</v>
      </c>
      <c r="H20" s="28" t="s">
        <v>361</v>
      </c>
      <c r="I20" s="28" t="s">
        <v>934</v>
      </c>
      <c r="J20" s="28" t="s">
        <v>931</v>
      </c>
      <c r="K20" s="28" t="s">
        <v>929</v>
      </c>
      <c r="L20" s="32"/>
      <c r="M20" s="32"/>
      <c r="N20" s="32"/>
    </row>
    <row r="21" spans="2:14" s="4" customFormat="1" x14ac:dyDescent="0.25">
      <c r="B21" s="289"/>
      <c r="C21" s="289"/>
      <c r="D21" s="289"/>
      <c r="E21" s="289" t="s">
        <v>335</v>
      </c>
      <c r="F21" s="290" t="s">
        <v>362</v>
      </c>
      <c r="G21" s="290" t="s">
        <v>363</v>
      </c>
      <c r="H21" s="290" t="s">
        <v>364</v>
      </c>
      <c r="I21" s="290" t="s">
        <v>365</v>
      </c>
      <c r="J21" s="290" t="s">
        <v>932</v>
      </c>
      <c r="K21" s="290" t="s">
        <v>930</v>
      </c>
      <c r="L21" s="293"/>
      <c r="M21" s="293"/>
      <c r="N21" s="293"/>
    </row>
    <row r="22" spans="2:14" s="4" customFormat="1" x14ac:dyDescent="0.25">
      <c r="B22" s="289"/>
      <c r="C22" s="289"/>
      <c r="D22" s="289"/>
      <c r="E22" s="289"/>
      <c r="F22" s="290"/>
      <c r="G22" s="290"/>
      <c r="H22" s="290"/>
      <c r="I22" s="290"/>
      <c r="J22" s="290"/>
      <c r="K22" s="290"/>
      <c r="L22" s="293"/>
      <c r="M22" s="293"/>
      <c r="N22" s="293"/>
    </row>
    <row r="23" spans="2:14" s="4" customFormat="1" ht="111" customHeight="1" x14ac:dyDescent="0.25">
      <c r="B23" s="289" t="s">
        <v>66</v>
      </c>
      <c r="C23" s="289" t="s">
        <v>370</v>
      </c>
      <c r="D23" s="293"/>
      <c r="E23" s="27" t="s">
        <v>333</v>
      </c>
      <c r="F23" s="28" t="s">
        <v>371</v>
      </c>
      <c r="G23" s="28" t="s">
        <v>372</v>
      </c>
      <c r="H23" s="28" t="s">
        <v>373</v>
      </c>
      <c r="I23" s="28" t="s">
        <v>935</v>
      </c>
      <c r="J23" s="28" t="s">
        <v>374</v>
      </c>
      <c r="K23" s="28" t="s">
        <v>375</v>
      </c>
      <c r="L23" s="32"/>
      <c r="M23" s="32"/>
      <c r="N23" s="32"/>
    </row>
    <row r="24" spans="2:14" s="4" customFormat="1" x14ac:dyDescent="0.25">
      <c r="B24" s="289"/>
      <c r="C24" s="289"/>
      <c r="D24" s="293"/>
      <c r="E24" s="27" t="s">
        <v>334</v>
      </c>
      <c r="F24" s="28" t="s">
        <v>376</v>
      </c>
      <c r="G24" s="28" t="s">
        <v>377</v>
      </c>
      <c r="H24" s="28" t="s">
        <v>378</v>
      </c>
      <c r="I24" s="28" t="s">
        <v>936</v>
      </c>
      <c r="J24" s="28" t="s">
        <v>937</v>
      </c>
      <c r="K24" s="28" t="s">
        <v>379</v>
      </c>
      <c r="L24" s="32"/>
      <c r="M24" s="32"/>
      <c r="N24" s="32"/>
    </row>
    <row r="25" spans="2:14" s="4" customFormat="1" x14ac:dyDescent="0.25">
      <c r="B25" s="289"/>
      <c r="C25" s="289"/>
      <c r="D25" s="293"/>
      <c r="E25" s="289" t="s">
        <v>335</v>
      </c>
      <c r="F25" s="290" t="s">
        <v>1142</v>
      </c>
      <c r="G25" s="290" t="s">
        <v>1143</v>
      </c>
      <c r="H25" s="290" t="s">
        <v>1144</v>
      </c>
      <c r="I25" s="290" t="s">
        <v>1145</v>
      </c>
      <c r="J25" s="290" t="s">
        <v>1146</v>
      </c>
      <c r="K25" s="290" t="s">
        <v>1147</v>
      </c>
      <c r="L25" s="293"/>
      <c r="M25" s="293"/>
      <c r="N25" s="293"/>
    </row>
    <row r="26" spans="2:14" s="4" customFormat="1" x14ac:dyDescent="0.25">
      <c r="B26" s="289"/>
      <c r="C26" s="289"/>
      <c r="D26" s="293"/>
      <c r="E26" s="289"/>
      <c r="F26" s="290"/>
      <c r="G26" s="290"/>
      <c r="H26" s="290"/>
      <c r="I26" s="290"/>
      <c r="J26" s="290"/>
      <c r="K26" s="290"/>
      <c r="L26" s="293"/>
      <c r="M26" s="293"/>
      <c r="N26" s="293"/>
    </row>
    <row r="27" spans="2:14" s="4" customFormat="1" ht="46.5" customHeight="1" x14ac:dyDescent="0.25">
      <c r="B27" s="271" t="s">
        <v>68</v>
      </c>
      <c r="C27" s="271" t="s">
        <v>69</v>
      </c>
      <c r="D27" s="280"/>
      <c r="E27" s="33" t="s">
        <v>333</v>
      </c>
      <c r="F27" s="35" t="s">
        <v>1152</v>
      </c>
      <c r="G27" s="35" t="s">
        <v>1153</v>
      </c>
      <c r="H27" s="35" t="s">
        <v>1151</v>
      </c>
      <c r="I27" s="35" t="s">
        <v>1150</v>
      </c>
      <c r="J27" s="35" t="s">
        <v>1149</v>
      </c>
      <c r="K27" s="35" t="s">
        <v>1148</v>
      </c>
      <c r="L27" s="34"/>
      <c r="M27" s="34"/>
      <c r="N27" s="34"/>
    </row>
    <row r="28" spans="2:14" s="4" customFormat="1" ht="17.25" customHeight="1" x14ac:dyDescent="0.25">
      <c r="B28" s="271"/>
      <c r="C28" s="271"/>
      <c r="D28" s="280"/>
      <c r="E28" s="271" t="s">
        <v>334</v>
      </c>
      <c r="F28" s="282" t="s">
        <v>381</v>
      </c>
      <c r="G28" s="282" t="s">
        <v>382</v>
      </c>
      <c r="H28" s="282" t="s">
        <v>385</v>
      </c>
      <c r="I28" s="282" t="s">
        <v>384</v>
      </c>
      <c r="J28" s="282" t="s">
        <v>383</v>
      </c>
      <c r="K28" s="282" t="s">
        <v>380</v>
      </c>
      <c r="L28" s="291"/>
      <c r="M28" s="291"/>
      <c r="N28" s="291"/>
    </row>
    <row r="29" spans="2:14" s="4" customFormat="1" x14ac:dyDescent="0.25">
      <c r="B29" s="271"/>
      <c r="C29" s="271"/>
      <c r="D29" s="280"/>
      <c r="E29" s="271"/>
      <c r="F29" s="282"/>
      <c r="G29" s="282"/>
      <c r="H29" s="282"/>
      <c r="I29" s="282"/>
      <c r="J29" s="282"/>
      <c r="K29" s="282"/>
      <c r="L29" s="292"/>
      <c r="M29" s="292"/>
      <c r="N29" s="292"/>
    </row>
    <row r="30" spans="2:14" s="4" customFormat="1" ht="14.25" customHeight="1" x14ac:dyDescent="0.25">
      <c r="B30" s="271"/>
      <c r="C30" s="271"/>
      <c r="D30" s="280"/>
      <c r="E30" s="271" t="s">
        <v>335</v>
      </c>
      <c r="F30" s="282">
        <v>41.81</v>
      </c>
      <c r="G30" s="282" t="s">
        <v>1154</v>
      </c>
      <c r="H30" s="282" t="s">
        <v>1155</v>
      </c>
      <c r="I30" s="282" t="s">
        <v>1156</v>
      </c>
      <c r="J30" s="282" t="s">
        <v>1157</v>
      </c>
      <c r="K30" s="282" t="s">
        <v>1158</v>
      </c>
      <c r="L30" s="280"/>
      <c r="M30" s="280"/>
      <c r="N30" s="280"/>
    </row>
    <row r="31" spans="2:14" s="4" customFormat="1" ht="6" customHeight="1" x14ac:dyDescent="0.25">
      <c r="B31" s="271"/>
      <c r="C31" s="271"/>
      <c r="D31" s="280"/>
      <c r="E31" s="271"/>
      <c r="F31" s="282"/>
      <c r="G31" s="282"/>
      <c r="H31" s="282"/>
      <c r="I31" s="282"/>
      <c r="J31" s="282"/>
      <c r="K31" s="282"/>
      <c r="L31" s="280"/>
      <c r="M31" s="280"/>
      <c r="N31" s="280"/>
    </row>
    <row r="32" spans="2:14" s="4" customFormat="1" ht="6.75" customHeight="1" x14ac:dyDescent="0.25">
      <c r="B32" s="271"/>
      <c r="C32" s="271"/>
      <c r="D32" s="280"/>
      <c r="E32" s="271"/>
      <c r="F32" s="282"/>
      <c r="G32" s="282"/>
      <c r="H32" s="282"/>
      <c r="I32" s="282"/>
      <c r="J32" s="282"/>
      <c r="K32" s="282"/>
      <c r="L32" s="280"/>
      <c r="M32" s="280"/>
      <c r="N32" s="280"/>
    </row>
    <row r="33" spans="2:14" s="4" customFormat="1" ht="15.75" customHeight="1" x14ac:dyDescent="0.25">
      <c r="B33" s="271" t="s">
        <v>70</v>
      </c>
      <c r="C33" s="271" t="s">
        <v>386</v>
      </c>
      <c r="D33" s="271"/>
      <c r="E33" s="33" t="s">
        <v>333</v>
      </c>
      <c r="F33" s="35" t="s">
        <v>408</v>
      </c>
      <c r="G33" s="35" t="s">
        <v>409</v>
      </c>
      <c r="H33" s="35" t="s">
        <v>410</v>
      </c>
      <c r="I33" s="35" t="s">
        <v>411</v>
      </c>
      <c r="J33" s="35" t="s">
        <v>412</v>
      </c>
      <c r="K33" s="35" t="s">
        <v>413</v>
      </c>
      <c r="L33" s="34"/>
      <c r="M33" s="34"/>
      <c r="N33" s="34"/>
    </row>
    <row r="34" spans="2:14" s="4" customFormat="1" x14ac:dyDescent="0.25">
      <c r="B34" s="271"/>
      <c r="C34" s="271"/>
      <c r="D34" s="271"/>
      <c r="E34" s="33" t="s">
        <v>334</v>
      </c>
      <c r="F34" s="35" t="s">
        <v>387</v>
      </c>
      <c r="G34" s="35" t="s">
        <v>388</v>
      </c>
      <c r="H34" s="35" t="s">
        <v>389</v>
      </c>
      <c r="I34" s="35" t="s">
        <v>390</v>
      </c>
      <c r="J34" s="35" t="s">
        <v>391</v>
      </c>
      <c r="K34" s="35" t="s">
        <v>392</v>
      </c>
      <c r="L34" s="34"/>
      <c r="M34" s="34"/>
      <c r="N34" s="34"/>
    </row>
    <row r="35" spans="2:14" s="4" customFormat="1" ht="15.75" customHeight="1" x14ac:dyDescent="0.25">
      <c r="B35" s="271"/>
      <c r="C35" s="271"/>
      <c r="D35" s="271"/>
      <c r="E35" s="271" t="s">
        <v>335</v>
      </c>
      <c r="F35" s="282" t="s">
        <v>393</v>
      </c>
      <c r="G35" s="282" t="s">
        <v>394</v>
      </c>
      <c r="H35" s="282" t="s">
        <v>395</v>
      </c>
      <c r="I35" s="282" t="s">
        <v>396</v>
      </c>
      <c r="J35" s="282" t="s">
        <v>397</v>
      </c>
      <c r="K35" s="282" t="s">
        <v>398</v>
      </c>
      <c r="L35" s="280"/>
      <c r="M35" s="280"/>
      <c r="N35" s="280"/>
    </row>
    <row r="36" spans="2:14" s="4" customFormat="1" x14ac:dyDescent="0.25">
      <c r="B36" s="271"/>
      <c r="C36" s="271"/>
      <c r="D36" s="271"/>
      <c r="E36" s="271"/>
      <c r="F36" s="282"/>
      <c r="G36" s="282"/>
      <c r="H36" s="282"/>
      <c r="I36" s="282"/>
      <c r="J36" s="282"/>
      <c r="K36" s="282"/>
      <c r="L36" s="280"/>
      <c r="M36" s="280"/>
      <c r="N36" s="280"/>
    </row>
    <row r="37" spans="2:14" s="4" customFormat="1" ht="79.5" customHeight="1" x14ac:dyDescent="0.25">
      <c r="B37" s="282" t="s">
        <v>72</v>
      </c>
      <c r="C37" s="282" t="s">
        <v>73</v>
      </c>
      <c r="D37" s="280"/>
      <c r="E37" s="37" t="s">
        <v>333</v>
      </c>
      <c r="F37" s="35" t="s">
        <v>399</v>
      </c>
      <c r="G37" s="35" t="s">
        <v>400</v>
      </c>
      <c r="H37" s="35" t="s">
        <v>401</v>
      </c>
      <c r="I37" s="35" t="s">
        <v>938</v>
      </c>
      <c r="J37" s="35" t="s">
        <v>402</v>
      </c>
      <c r="K37" s="35" t="s">
        <v>403</v>
      </c>
      <c r="L37" s="34"/>
      <c r="M37" s="34"/>
      <c r="N37" s="34"/>
    </row>
    <row r="38" spans="2:14" s="4" customFormat="1" x14ac:dyDescent="0.25">
      <c r="B38" s="282"/>
      <c r="C38" s="282"/>
      <c r="D38" s="280"/>
      <c r="E38" s="37" t="s">
        <v>334</v>
      </c>
      <c r="F38" s="35" t="s">
        <v>404</v>
      </c>
      <c r="G38" s="35" t="s">
        <v>405</v>
      </c>
      <c r="H38" s="35" t="s">
        <v>406</v>
      </c>
      <c r="I38" s="35" t="s">
        <v>939</v>
      </c>
      <c r="J38" s="35" t="s">
        <v>940</v>
      </c>
      <c r="K38" s="35" t="s">
        <v>407</v>
      </c>
      <c r="L38" s="34"/>
      <c r="M38" s="34"/>
      <c r="N38" s="34"/>
    </row>
    <row r="39" spans="2:14" s="4" customFormat="1" x14ac:dyDescent="0.25">
      <c r="B39" s="282"/>
      <c r="C39" s="282"/>
      <c r="D39" s="280"/>
      <c r="E39" s="37" t="s">
        <v>335</v>
      </c>
      <c r="F39" s="35" t="s">
        <v>1159</v>
      </c>
      <c r="G39" s="35" t="s">
        <v>1160</v>
      </c>
      <c r="H39" s="35" t="s">
        <v>1161</v>
      </c>
      <c r="I39" s="35" t="s">
        <v>1162</v>
      </c>
      <c r="J39" s="35" t="s">
        <v>1163</v>
      </c>
      <c r="K39" s="35" t="s">
        <v>1164</v>
      </c>
      <c r="L39" s="34"/>
      <c r="M39" s="34"/>
      <c r="N39" s="34"/>
    </row>
    <row r="40" spans="2:14" s="4" customFormat="1" ht="72" customHeight="1" x14ac:dyDescent="0.25">
      <c r="B40" s="271" t="s">
        <v>74</v>
      </c>
      <c r="C40" s="271" t="s">
        <v>75</v>
      </c>
      <c r="D40" s="280"/>
      <c r="E40" s="37" t="s">
        <v>333</v>
      </c>
      <c r="F40" s="35" t="s">
        <v>943</v>
      </c>
      <c r="G40" s="35" t="s">
        <v>944</v>
      </c>
      <c r="H40" s="35" t="s">
        <v>945</v>
      </c>
      <c r="I40" s="35" t="s">
        <v>946</v>
      </c>
      <c r="J40" s="35" t="s">
        <v>948</v>
      </c>
      <c r="K40" s="35" t="s">
        <v>949</v>
      </c>
      <c r="L40" s="34"/>
      <c r="M40" s="34"/>
      <c r="N40" s="34"/>
    </row>
    <row r="41" spans="2:14" s="4" customFormat="1" x14ac:dyDescent="0.25">
      <c r="B41" s="271"/>
      <c r="C41" s="271"/>
      <c r="D41" s="280"/>
      <c r="E41" s="37" t="s">
        <v>334</v>
      </c>
      <c r="F41" s="35" t="s">
        <v>414</v>
      </c>
      <c r="G41" s="35" t="s">
        <v>415</v>
      </c>
      <c r="H41" s="35" t="s">
        <v>416</v>
      </c>
      <c r="I41" s="35" t="s">
        <v>941</v>
      </c>
      <c r="J41" s="35" t="s">
        <v>947</v>
      </c>
      <c r="K41" s="35" t="s">
        <v>942</v>
      </c>
      <c r="L41" s="34"/>
      <c r="M41" s="34"/>
      <c r="N41" s="34"/>
    </row>
    <row r="42" spans="2:14" s="4" customFormat="1" x14ac:dyDescent="0.25">
      <c r="B42" s="271"/>
      <c r="C42" s="271"/>
      <c r="D42" s="280"/>
      <c r="E42" s="37" t="s">
        <v>335</v>
      </c>
      <c r="F42" s="35" t="s">
        <v>1165</v>
      </c>
      <c r="G42" s="35" t="s">
        <v>1166</v>
      </c>
      <c r="H42" s="35" t="s">
        <v>1167</v>
      </c>
      <c r="I42" s="35" t="s">
        <v>1168</v>
      </c>
      <c r="J42" s="35" t="s">
        <v>1169</v>
      </c>
      <c r="K42" s="35" t="s">
        <v>1170</v>
      </c>
      <c r="L42" s="34"/>
      <c r="M42" s="34"/>
      <c r="N42" s="34"/>
    </row>
    <row r="43" spans="2:14" s="4" customFormat="1" ht="95.25" customHeight="1" x14ac:dyDescent="0.25">
      <c r="B43" s="271" t="s">
        <v>104</v>
      </c>
      <c r="C43" s="271" t="s">
        <v>105</v>
      </c>
      <c r="D43" s="280"/>
      <c r="E43" s="37" t="s">
        <v>333</v>
      </c>
      <c r="F43" s="35" t="s">
        <v>424</v>
      </c>
      <c r="G43" s="35" t="s">
        <v>425</v>
      </c>
      <c r="H43" s="35" t="s">
        <v>426</v>
      </c>
      <c r="I43" s="35" t="s">
        <v>950</v>
      </c>
      <c r="J43" s="35" t="s">
        <v>951</v>
      </c>
      <c r="K43" s="35" t="s">
        <v>427</v>
      </c>
      <c r="L43" s="34"/>
      <c r="M43" s="34"/>
      <c r="N43" s="34"/>
    </row>
    <row r="44" spans="2:14" s="4" customFormat="1" ht="15" customHeight="1" x14ac:dyDescent="0.25">
      <c r="B44" s="271"/>
      <c r="C44" s="271"/>
      <c r="D44" s="280"/>
      <c r="E44" s="37" t="s">
        <v>334</v>
      </c>
      <c r="F44" s="35" t="s">
        <v>417</v>
      </c>
      <c r="G44" s="35" t="s">
        <v>418</v>
      </c>
      <c r="H44" s="35" t="s">
        <v>419</v>
      </c>
      <c r="I44" s="35" t="s">
        <v>952</v>
      </c>
      <c r="J44" s="35" t="s">
        <v>953</v>
      </c>
      <c r="K44" s="35" t="s">
        <v>955</v>
      </c>
      <c r="L44" s="34"/>
      <c r="M44" s="34"/>
      <c r="N44" s="34"/>
    </row>
    <row r="45" spans="2:14" s="4" customFormat="1" x14ac:dyDescent="0.25">
      <c r="B45" s="271"/>
      <c r="C45" s="271"/>
      <c r="D45" s="280"/>
      <c r="E45" s="37" t="s">
        <v>335</v>
      </c>
      <c r="F45" s="35" t="s">
        <v>420</v>
      </c>
      <c r="G45" s="35" t="s">
        <v>421</v>
      </c>
      <c r="H45" s="35" t="s">
        <v>422</v>
      </c>
      <c r="I45" s="35" t="s">
        <v>423</v>
      </c>
      <c r="J45" s="35" t="s">
        <v>545</v>
      </c>
      <c r="K45" s="35" t="s">
        <v>954</v>
      </c>
      <c r="L45" s="34"/>
      <c r="M45" s="34"/>
      <c r="N45" s="34"/>
    </row>
    <row r="46" spans="2:14" s="4" customFormat="1" ht="62.25" customHeight="1" x14ac:dyDescent="0.25">
      <c r="B46" s="271" t="s">
        <v>106</v>
      </c>
      <c r="C46" s="271" t="s">
        <v>428</v>
      </c>
      <c r="D46" s="271"/>
      <c r="E46" s="33" t="s">
        <v>333</v>
      </c>
      <c r="F46" s="35">
        <v>13</v>
      </c>
      <c r="G46" s="35">
        <v>13</v>
      </c>
      <c r="H46" s="35">
        <v>13</v>
      </c>
      <c r="I46" s="35">
        <v>13</v>
      </c>
      <c r="J46" s="35">
        <v>13</v>
      </c>
      <c r="K46" s="35">
        <v>13</v>
      </c>
      <c r="L46" s="35"/>
      <c r="M46" s="34"/>
      <c r="N46" s="34"/>
    </row>
    <row r="47" spans="2:14" s="4" customFormat="1" x14ac:dyDescent="0.25">
      <c r="B47" s="271"/>
      <c r="C47" s="271"/>
      <c r="D47" s="271"/>
      <c r="E47" s="33" t="s">
        <v>334</v>
      </c>
      <c r="F47" s="35">
        <v>13</v>
      </c>
      <c r="G47" s="35">
        <v>13</v>
      </c>
      <c r="H47" s="35">
        <v>13</v>
      </c>
      <c r="I47" s="35">
        <v>13</v>
      </c>
      <c r="J47" s="35">
        <v>13</v>
      </c>
      <c r="K47" s="35">
        <v>13</v>
      </c>
      <c r="L47" s="35"/>
      <c r="M47" s="34"/>
      <c r="N47" s="34"/>
    </row>
    <row r="48" spans="2:14" s="4" customFormat="1" x14ac:dyDescent="0.25">
      <c r="B48" s="271"/>
      <c r="C48" s="271"/>
      <c r="D48" s="271"/>
      <c r="E48" s="33" t="s">
        <v>335</v>
      </c>
      <c r="F48" s="35">
        <v>13</v>
      </c>
      <c r="G48" s="35">
        <v>13</v>
      </c>
      <c r="H48" s="35">
        <v>13</v>
      </c>
      <c r="I48" s="35">
        <v>13</v>
      </c>
      <c r="J48" s="35">
        <v>13</v>
      </c>
      <c r="K48" s="35">
        <v>13</v>
      </c>
      <c r="L48" s="35"/>
      <c r="M48" s="34"/>
      <c r="N48" s="34"/>
    </row>
    <row r="49" spans="2:14" s="4" customFormat="1" ht="35.25" customHeight="1" x14ac:dyDescent="0.25">
      <c r="B49" s="271" t="s">
        <v>125</v>
      </c>
      <c r="C49" s="271" t="s">
        <v>126</v>
      </c>
      <c r="D49" s="280"/>
      <c r="E49" s="33" t="s">
        <v>333</v>
      </c>
      <c r="F49" s="35" t="s">
        <v>1171</v>
      </c>
      <c r="G49" s="35" t="s">
        <v>1172</v>
      </c>
      <c r="H49" s="35" t="s">
        <v>1173</v>
      </c>
      <c r="I49" s="35" t="s">
        <v>1174</v>
      </c>
      <c r="J49" s="35" t="s">
        <v>1175</v>
      </c>
      <c r="K49" s="35" t="s">
        <v>1176</v>
      </c>
      <c r="L49" s="34"/>
      <c r="M49" s="34"/>
      <c r="N49" s="34"/>
    </row>
    <row r="50" spans="2:14" s="4" customFormat="1" ht="30" x14ac:dyDescent="0.25">
      <c r="B50" s="271"/>
      <c r="C50" s="271"/>
      <c r="D50" s="280"/>
      <c r="E50" s="33" t="s">
        <v>334</v>
      </c>
      <c r="F50" s="35" t="s">
        <v>436</v>
      </c>
      <c r="G50" s="35" t="s">
        <v>430</v>
      </c>
      <c r="H50" s="35" t="s">
        <v>431</v>
      </c>
      <c r="I50" s="35" t="s">
        <v>432</v>
      </c>
      <c r="J50" s="35" t="s">
        <v>433</v>
      </c>
      <c r="K50" s="35" t="s">
        <v>1408</v>
      </c>
      <c r="L50" s="34"/>
      <c r="M50" s="34"/>
      <c r="N50" s="34"/>
    </row>
    <row r="51" spans="2:14" s="4" customFormat="1" x14ac:dyDescent="0.25">
      <c r="B51" s="271"/>
      <c r="C51" s="271"/>
      <c r="D51" s="280"/>
      <c r="E51" s="33" t="s">
        <v>335</v>
      </c>
      <c r="F51" s="35" t="s">
        <v>141</v>
      </c>
      <c r="G51" s="35" t="s">
        <v>1181</v>
      </c>
      <c r="H51" s="35" t="s">
        <v>1180</v>
      </c>
      <c r="I51" s="35" t="s">
        <v>1179</v>
      </c>
      <c r="J51" s="35" t="s">
        <v>1178</v>
      </c>
      <c r="K51" s="35" t="s">
        <v>1177</v>
      </c>
      <c r="L51" s="34"/>
      <c r="M51" s="34"/>
      <c r="N51" s="34"/>
    </row>
    <row r="52" spans="2:14" s="4" customFormat="1" ht="72.75" customHeight="1" x14ac:dyDescent="0.25">
      <c r="B52" s="271" t="s">
        <v>131</v>
      </c>
      <c r="C52" s="271" t="s">
        <v>132</v>
      </c>
      <c r="D52" s="280"/>
      <c r="E52" s="33" t="s">
        <v>333</v>
      </c>
      <c r="F52" s="35" t="s">
        <v>966</v>
      </c>
      <c r="G52" s="35" t="s">
        <v>965</v>
      </c>
      <c r="H52" s="35" t="s">
        <v>964</v>
      </c>
      <c r="I52" s="35" t="s">
        <v>961</v>
      </c>
      <c r="J52" s="35" t="s">
        <v>960</v>
      </c>
      <c r="K52" s="35" t="s">
        <v>959</v>
      </c>
      <c r="L52" s="34"/>
      <c r="M52" s="34"/>
      <c r="N52" s="34"/>
    </row>
    <row r="53" spans="2:14" s="4" customFormat="1" x14ac:dyDescent="0.25">
      <c r="B53" s="271"/>
      <c r="C53" s="271"/>
      <c r="D53" s="280"/>
      <c r="E53" s="33" t="s">
        <v>334</v>
      </c>
      <c r="F53" s="35" t="s">
        <v>435</v>
      </c>
      <c r="G53" s="35" t="s">
        <v>434</v>
      </c>
      <c r="H53" s="35" t="s">
        <v>967</v>
      </c>
      <c r="I53" s="35" t="s">
        <v>1187</v>
      </c>
      <c r="J53" s="35" t="s">
        <v>1186</v>
      </c>
      <c r="K53" s="35" t="s">
        <v>1184</v>
      </c>
      <c r="L53" s="34"/>
      <c r="M53" s="34"/>
      <c r="N53" s="34"/>
    </row>
    <row r="54" spans="2:14" s="4" customFormat="1" x14ac:dyDescent="0.25">
      <c r="B54" s="271"/>
      <c r="C54" s="271"/>
      <c r="D54" s="280"/>
      <c r="E54" s="33" t="s">
        <v>335</v>
      </c>
      <c r="F54" s="35" t="s">
        <v>141</v>
      </c>
      <c r="G54" s="35" t="s">
        <v>1182</v>
      </c>
      <c r="H54" s="35" t="s">
        <v>1183</v>
      </c>
      <c r="I54" s="35" t="s">
        <v>1108</v>
      </c>
      <c r="J54" s="35" t="s">
        <v>1185</v>
      </c>
      <c r="K54" s="35" t="s">
        <v>545</v>
      </c>
      <c r="L54" s="34"/>
      <c r="M54" s="34"/>
      <c r="N54" s="34"/>
    </row>
    <row r="55" spans="2:14" s="4" customFormat="1" ht="44.25" customHeight="1" x14ac:dyDescent="0.25">
      <c r="B55" s="271" t="s">
        <v>133</v>
      </c>
      <c r="C55" s="271" t="s">
        <v>437</v>
      </c>
      <c r="D55" s="280"/>
      <c r="E55" s="33" t="s">
        <v>333</v>
      </c>
      <c r="F55" s="35" t="s">
        <v>1193</v>
      </c>
      <c r="G55" s="35" t="s">
        <v>1192</v>
      </c>
      <c r="H55" s="35" t="s">
        <v>1191</v>
      </c>
      <c r="I55" s="35" t="s">
        <v>1190</v>
      </c>
      <c r="J55" s="35" t="s">
        <v>1189</v>
      </c>
      <c r="K55" s="35" t="s">
        <v>1188</v>
      </c>
      <c r="L55" s="34"/>
      <c r="M55" s="34"/>
      <c r="N55" s="34"/>
    </row>
    <row r="56" spans="2:14" s="4" customFormat="1" ht="30" x14ac:dyDescent="0.25">
      <c r="B56" s="271"/>
      <c r="C56" s="271"/>
      <c r="D56" s="280"/>
      <c r="E56" s="33" t="s">
        <v>334</v>
      </c>
      <c r="F56" s="35" t="s">
        <v>438</v>
      </c>
      <c r="G56" s="35" t="s">
        <v>439</v>
      </c>
      <c r="H56" s="35" t="s">
        <v>440</v>
      </c>
      <c r="I56" s="35" t="s">
        <v>441</v>
      </c>
      <c r="J56" s="35" t="s">
        <v>442</v>
      </c>
      <c r="K56" s="35" t="s">
        <v>1199</v>
      </c>
      <c r="L56" s="34"/>
      <c r="M56" s="34"/>
      <c r="N56" s="34"/>
    </row>
    <row r="57" spans="2:14" s="4" customFormat="1" x14ac:dyDescent="0.25">
      <c r="B57" s="271"/>
      <c r="C57" s="271"/>
      <c r="D57" s="280"/>
      <c r="E57" s="33" t="s">
        <v>335</v>
      </c>
      <c r="F57" s="35" t="s">
        <v>141</v>
      </c>
      <c r="G57" s="35" t="s">
        <v>1194</v>
      </c>
      <c r="H57" s="35" t="s">
        <v>1195</v>
      </c>
      <c r="I57" s="35" t="s">
        <v>1196</v>
      </c>
      <c r="J57" s="35" t="s">
        <v>1197</v>
      </c>
      <c r="K57" s="35" t="s">
        <v>1198</v>
      </c>
      <c r="L57" s="34"/>
      <c r="M57" s="34"/>
      <c r="N57" s="34"/>
    </row>
    <row r="58" spans="2:14" s="4" customFormat="1" ht="50.25" customHeight="1" x14ac:dyDescent="0.25">
      <c r="B58" s="271" t="s">
        <v>136</v>
      </c>
      <c r="C58" s="271" t="s">
        <v>137</v>
      </c>
      <c r="D58" s="280"/>
      <c r="E58" s="33" t="s">
        <v>333</v>
      </c>
      <c r="F58" s="35" t="s">
        <v>969</v>
      </c>
      <c r="G58" s="35" t="s">
        <v>970</v>
      </c>
      <c r="H58" s="35" t="s">
        <v>971</v>
      </c>
      <c r="I58" s="35" t="s">
        <v>968</v>
      </c>
      <c r="J58" s="35" t="s">
        <v>973</v>
      </c>
      <c r="K58" s="35" t="s">
        <v>972</v>
      </c>
      <c r="L58" s="34"/>
      <c r="M58" s="34"/>
      <c r="N58" s="34"/>
    </row>
    <row r="59" spans="2:14" s="4" customFormat="1" x14ac:dyDescent="0.25">
      <c r="B59" s="271"/>
      <c r="C59" s="271"/>
      <c r="D59" s="280"/>
      <c r="E59" s="33" t="s">
        <v>334</v>
      </c>
      <c r="F59" s="35" t="s">
        <v>446</v>
      </c>
      <c r="G59" s="35" t="s">
        <v>443</v>
      </c>
      <c r="H59" s="35" t="s">
        <v>444</v>
      </c>
      <c r="I59" s="35" t="s">
        <v>445</v>
      </c>
      <c r="J59" s="35" t="s">
        <v>1204</v>
      </c>
      <c r="K59" s="35" t="s">
        <v>1206</v>
      </c>
      <c r="L59" s="34"/>
      <c r="M59" s="34"/>
      <c r="N59" s="34"/>
    </row>
    <row r="60" spans="2:14" s="4" customFormat="1" x14ac:dyDescent="0.25">
      <c r="B60" s="271"/>
      <c r="C60" s="271"/>
      <c r="D60" s="280"/>
      <c r="E60" s="33" t="s">
        <v>335</v>
      </c>
      <c r="F60" s="35" t="s">
        <v>141</v>
      </c>
      <c r="G60" s="35" t="s">
        <v>1200</v>
      </c>
      <c r="H60" s="35" t="s">
        <v>1201</v>
      </c>
      <c r="I60" s="35" t="s">
        <v>1202</v>
      </c>
      <c r="J60" s="35" t="s">
        <v>1203</v>
      </c>
      <c r="K60" s="35" t="s">
        <v>1205</v>
      </c>
      <c r="L60" s="34"/>
      <c r="M60" s="34"/>
      <c r="N60" s="34"/>
    </row>
    <row r="61" spans="2:14" s="4" customFormat="1" ht="42" customHeight="1" x14ac:dyDescent="0.25">
      <c r="B61" s="271" t="s">
        <v>139</v>
      </c>
      <c r="C61" s="271" t="s">
        <v>140</v>
      </c>
      <c r="D61" s="280"/>
      <c r="E61" s="33" t="s">
        <v>333</v>
      </c>
      <c r="F61" s="35" t="s">
        <v>974</v>
      </c>
      <c r="G61" s="35" t="s">
        <v>975</v>
      </c>
      <c r="H61" s="35" t="s">
        <v>976</v>
      </c>
      <c r="I61" s="35" t="s">
        <v>981</v>
      </c>
      <c r="J61" s="35" t="s">
        <v>979</v>
      </c>
      <c r="K61" s="35" t="s">
        <v>977</v>
      </c>
      <c r="L61" s="34"/>
      <c r="M61" s="34"/>
      <c r="N61" s="34"/>
    </row>
    <row r="62" spans="2:14" s="4" customFormat="1" x14ac:dyDescent="0.25">
      <c r="B62" s="271"/>
      <c r="C62" s="271"/>
      <c r="D62" s="280"/>
      <c r="E62" s="33" t="s">
        <v>334</v>
      </c>
      <c r="F62" s="35" t="s">
        <v>449</v>
      </c>
      <c r="G62" s="35" t="s">
        <v>447</v>
      </c>
      <c r="H62" s="35" t="s">
        <v>448</v>
      </c>
      <c r="I62" s="35" t="s">
        <v>982</v>
      </c>
      <c r="J62" s="35" t="s">
        <v>980</v>
      </c>
      <c r="K62" s="35" t="s">
        <v>978</v>
      </c>
      <c r="L62" s="34"/>
      <c r="M62" s="34"/>
      <c r="N62" s="34"/>
    </row>
    <row r="63" spans="2:14" s="4" customFormat="1" x14ac:dyDescent="0.25">
      <c r="B63" s="271"/>
      <c r="C63" s="271"/>
      <c r="D63" s="280"/>
      <c r="E63" s="33" t="s">
        <v>335</v>
      </c>
      <c r="F63" s="35" t="s">
        <v>141</v>
      </c>
      <c r="G63" s="35" t="s">
        <v>449</v>
      </c>
      <c r="H63" s="35" t="s">
        <v>1207</v>
      </c>
      <c r="I63" s="35" t="s">
        <v>1208</v>
      </c>
      <c r="J63" s="35" t="s">
        <v>1209</v>
      </c>
      <c r="K63" s="35" t="s">
        <v>1210</v>
      </c>
      <c r="L63" s="34"/>
      <c r="M63" s="34"/>
      <c r="N63" s="34"/>
    </row>
    <row r="64" spans="2:14" s="4" customFormat="1" ht="35.25" customHeight="1" x14ac:dyDescent="0.25">
      <c r="B64" s="271" t="s">
        <v>143</v>
      </c>
      <c r="C64" s="271" t="s">
        <v>144</v>
      </c>
      <c r="D64" s="280"/>
      <c r="E64" s="33" t="s">
        <v>333</v>
      </c>
      <c r="F64" s="35" t="s">
        <v>1216</v>
      </c>
      <c r="G64" s="35" t="s">
        <v>1215</v>
      </c>
      <c r="H64" s="35" t="s">
        <v>1214</v>
      </c>
      <c r="I64" s="35" t="s">
        <v>1213</v>
      </c>
      <c r="J64" s="35" t="s">
        <v>1212</v>
      </c>
      <c r="K64" s="35" t="s">
        <v>1211</v>
      </c>
      <c r="L64" s="34"/>
      <c r="M64" s="34"/>
      <c r="N64" s="34"/>
    </row>
    <row r="65" spans="2:14" s="4" customFormat="1" x14ac:dyDescent="0.25">
      <c r="B65" s="271"/>
      <c r="C65" s="271"/>
      <c r="D65" s="280"/>
      <c r="E65" s="33" t="s">
        <v>334</v>
      </c>
      <c r="F65" s="35" t="s">
        <v>450</v>
      </c>
      <c r="G65" s="35" t="s">
        <v>451</v>
      </c>
      <c r="H65" s="35" t="s">
        <v>452</v>
      </c>
      <c r="I65" s="35" t="s">
        <v>453</v>
      </c>
      <c r="J65" s="35" t="s">
        <v>454</v>
      </c>
      <c r="K65" s="35" t="s">
        <v>1222</v>
      </c>
      <c r="L65" s="34"/>
      <c r="M65" s="34"/>
      <c r="N65" s="34"/>
    </row>
    <row r="66" spans="2:14" s="4" customFormat="1" x14ac:dyDescent="0.25">
      <c r="B66" s="271"/>
      <c r="C66" s="271"/>
      <c r="D66" s="280"/>
      <c r="E66" s="33" t="s">
        <v>335</v>
      </c>
      <c r="F66" s="35" t="s">
        <v>141</v>
      </c>
      <c r="G66" s="35" t="s">
        <v>1217</v>
      </c>
      <c r="H66" s="35" t="s">
        <v>1218</v>
      </c>
      <c r="I66" s="35" t="s">
        <v>1219</v>
      </c>
      <c r="J66" s="35" t="s">
        <v>1220</v>
      </c>
      <c r="K66" s="35" t="s">
        <v>1221</v>
      </c>
      <c r="L66" s="34"/>
      <c r="M66" s="34"/>
      <c r="N66" s="34"/>
    </row>
    <row r="67" spans="2:14" s="4" customFormat="1" ht="38.25" customHeight="1" x14ac:dyDescent="0.25">
      <c r="B67" s="271" t="s">
        <v>145</v>
      </c>
      <c r="C67" s="282" t="s">
        <v>230</v>
      </c>
      <c r="D67" s="280"/>
      <c r="E67" s="33" t="s">
        <v>333</v>
      </c>
      <c r="F67" s="35" t="s">
        <v>988</v>
      </c>
      <c r="G67" s="35" t="s">
        <v>987</v>
      </c>
      <c r="H67" s="35" t="s">
        <v>986</v>
      </c>
      <c r="I67" s="35" t="s">
        <v>989</v>
      </c>
      <c r="J67" s="35" t="s">
        <v>990</v>
      </c>
      <c r="K67" s="35" t="s">
        <v>985</v>
      </c>
      <c r="L67" s="34"/>
      <c r="M67" s="34"/>
      <c r="N67" s="34"/>
    </row>
    <row r="68" spans="2:14" s="4" customFormat="1" x14ac:dyDescent="0.25">
      <c r="B68" s="271"/>
      <c r="C68" s="282"/>
      <c r="D68" s="280"/>
      <c r="E68" s="33" t="s">
        <v>334</v>
      </c>
      <c r="F68" s="35" t="s">
        <v>455</v>
      </c>
      <c r="G68" s="35" t="s">
        <v>456</v>
      </c>
      <c r="H68" s="35" t="s">
        <v>457</v>
      </c>
      <c r="I68" s="35" t="s">
        <v>1226</v>
      </c>
      <c r="J68" s="35" t="s">
        <v>1228</v>
      </c>
      <c r="K68" s="35" t="s">
        <v>1230</v>
      </c>
      <c r="L68" s="34"/>
      <c r="M68" s="34"/>
      <c r="N68" s="34"/>
    </row>
    <row r="69" spans="2:14" s="4" customFormat="1" x14ac:dyDescent="0.25">
      <c r="B69" s="271"/>
      <c r="C69" s="282"/>
      <c r="D69" s="280"/>
      <c r="E69" s="33" t="s">
        <v>335</v>
      </c>
      <c r="F69" s="35" t="s">
        <v>141</v>
      </c>
      <c r="G69" s="35" t="s">
        <v>1223</v>
      </c>
      <c r="H69" s="35" t="s">
        <v>1224</v>
      </c>
      <c r="I69" s="35" t="s">
        <v>1225</v>
      </c>
      <c r="J69" s="35" t="s">
        <v>1227</v>
      </c>
      <c r="K69" s="35" t="s">
        <v>1229</v>
      </c>
      <c r="L69" s="34"/>
      <c r="M69" s="34"/>
      <c r="N69" s="34"/>
    </row>
    <row r="70" spans="2:14" s="4" customFormat="1" ht="35.25" customHeight="1" x14ac:dyDescent="0.25">
      <c r="B70" s="271" t="s">
        <v>148</v>
      </c>
      <c r="C70" s="271" t="s">
        <v>146</v>
      </c>
      <c r="D70" s="280"/>
      <c r="E70" s="33" t="s">
        <v>333</v>
      </c>
      <c r="F70" s="35" t="s">
        <v>1236</v>
      </c>
      <c r="G70" s="35" t="s">
        <v>1235</v>
      </c>
      <c r="H70" s="35" t="s">
        <v>1234</v>
      </c>
      <c r="I70" s="35" t="s">
        <v>1233</v>
      </c>
      <c r="J70" s="35" t="s">
        <v>1232</v>
      </c>
      <c r="K70" s="35" t="s">
        <v>1231</v>
      </c>
      <c r="L70" s="34"/>
      <c r="M70" s="34"/>
      <c r="N70" s="34"/>
    </row>
    <row r="71" spans="2:14" s="4" customFormat="1" x14ac:dyDescent="0.25">
      <c r="B71" s="271"/>
      <c r="C71" s="271"/>
      <c r="D71" s="280"/>
      <c r="E71" s="33" t="s">
        <v>334</v>
      </c>
      <c r="F71" s="35" t="s">
        <v>458</v>
      </c>
      <c r="G71" s="35" t="s">
        <v>459</v>
      </c>
      <c r="H71" s="35" t="s">
        <v>460</v>
      </c>
      <c r="I71" s="35" t="s">
        <v>461</v>
      </c>
      <c r="J71" s="35" t="s">
        <v>462</v>
      </c>
      <c r="K71" s="35" t="s">
        <v>1409</v>
      </c>
      <c r="L71" s="34"/>
      <c r="M71" s="34"/>
      <c r="N71" s="34"/>
    </row>
    <row r="72" spans="2:14" s="4" customFormat="1" x14ac:dyDescent="0.25">
      <c r="B72" s="271"/>
      <c r="C72" s="271"/>
      <c r="D72" s="280"/>
      <c r="E72" s="33" t="s">
        <v>335</v>
      </c>
      <c r="F72" s="35" t="s">
        <v>141</v>
      </c>
      <c r="G72" s="35" t="s">
        <v>1241</v>
      </c>
      <c r="H72" s="35" t="s">
        <v>1240</v>
      </c>
      <c r="I72" s="35" t="s">
        <v>1239</v>
      </c>
      <c r="J72" s="35" t="s">
        <v>1238</v>
      </c>
      <c r="K72" s="35" t="s">
        <v>1237</v>
      </c>
      <c r="L72" s="34"/>
      <c r="M72" s="34"/>
      <c r="N72" s="34"/>
    </row>
    <row r="73" spans="2:14" s="4" customFormat="1" ht="46.5" customHeight="1" x14ac:dyDescent="0.25">
      <c r="B73" s="271" t="s">
        <v>854</v>
      </c>
      <c r="C73" s="271" t="s">
        <v>147</v>
      </c>
      <c r="D73" s="280"/>
      <c r="E73" s="33" t="s">
        <v>333</v>
      </c>
      <c r="F73" s="35" t="s">
        <v>1252</v>
      </c>
      <c r="G73" s="35" t="s">
        <v>1251</v>
      </c>
      <c r="H73" s="35" t="s">
        <v>1250</v>
      </c>
      <c r="I73" s="35" t="s">
        <v>1249</v>
      </c>
      <c r="J73" s="35" t="s">
        <v>1248</v>
      </c>
      <c r="K73" s="35" t="s">
        <v>1234</v>
      </c>
      <c r="L73" s="34"/>
      <c r="M73" s="34"/>
      <c r="N73" s="34"/>
    </row>
    <row r="74" spans="2:14" s="4" customFormat="1" x14ac:dyDescent="0.25">
      <c r="B74" s="271"/>
      <c r="C74" s="271"/>
      <c r="D74" s="280"/>
      <c r="E74" s="33" t="s">
        <v>334</v>
      </c>
      <c r="F74" s="35" t="s">
        <v>463</v>
      </c>
      <c r="G74" s="35" t="s">
        <v>464</v>
      </c>
      <c r="H74" s="35" t="s">
        <v>465</v>
      </c>
      <c r="I74" s="35" t="s">
        <v>466</v>
      </c>
      <c r="J74" s="35" t="s">
        <v>467</v>
      </c>
      <c r="K74" s="35" t="s">
        <v>1247</v>
      </c>
      <c r="L74" s="34"/>
      <c r="M74" s="34"/>
      <c r="N74" s="34"/>
    </row>
    <row r="75" spans="2:14" s="4" customFormat="1" x14ac:dyDescent="0.25">
      <c r="B75" s="271"/>
      <c r="C75" s="271"/>
      <c r="D75" s="280"/>
      <c r="E75" s="33" t="s">
        <v>335</v>
      </c>
      <c r="F75" s="35" t="s">
        <v>141</v>
      </c>
      <c r="G75" s="35" t="s">
        <v>1242</v>
      </c>
      <c r="H75" s="35" t="s">
        <v>1243</v>
      </c>
      <c r="I75" s="35" t="s">
        <v>1244</v>
      </c>
      <c r="J75" s="35" t="s">
        <v>1245</v>
      </c>
      <c r="K75" s="35" t="s">
        <v>1246</v>
      </c>
      <c r="L75" s="34"/>
      <c r="M75" s="34"/>
      <c r="N75" s="34"/>
    </row>
    <row r="76" spans="2:14" s="4" customFormat="1" ht="40.5" customHeight="1" x14ac:dyDescent="0.25">
      <c r="B76" s="271" t="s">
        <v>855</v>
      </c>
      <c r="C76" s="271" t="s">
        <v>149</v>
      </c>
      <c r="D76" s="280"/>
      <c r="E76" s="33" t="s">
        <v>333</v>
      </c>
      <c r="F76" s="35" t="s">
        <v>1258</v>
      </c>
      <c r="G76" s="35" t="s">
        <v>1257</v>
      </c>
      <c r="H76" s="35" t="s">
        <v>1256</v>
      </c>
      <c r="I76" s="35" t="s">
        <v>1255</v>
      </c>
      <c r="J76" s="35" t="s">
        <v>1254</v>
      </c>
      <c r="K76" s="35" t="s">
        <v>1253</v>
      </c>
      <c r="L76" s="34"/>
      <c r="M76" s="34"/>
      <c r="N76" s="34"/>
    </row>
    <row r="77" spans="2:14" s="4" customFormat="1" x14ac:dyDescent="0.25">
      <c r="B77" s="271"/>
      <c r="C77" s="271"/>
      <c r="D77" s="280"/>
      <c r="E77" s="33" t="s">
        <v>334</v>
      </c>
      <c r="F77" s="35" t="s">
        <v>468</v>
      </c>
      <c r="G77" s="35" t="s">
        <v>469</v>
      </c>
      <c r="H77" s="35" t="s">
        <v>470</v>
      </c>
      <c r="I77" s="35" t="s">
        <v>471</v>
      </c>
      <c r="J77" s="35" t="s">
        <v>472</v>
      </c>
      <c r="K77" s="35" t="s">
        <v>1259</v>
      </c>
      <c r="L77" s="34"/>
      <c r="M77" s="34"/>
      <c r="N77" s="34"/>
    </row>
    <row r="78" spans="2:14" s="4" customFormat="1" x14ac:dyDescent="0.25">
      <c r="B78" s="271"/>
      <c r="C78" s="271"/>
      <c r="D78" s="280"/>
      <c r="E78" s="33" t="s">
        <v>335</v>
      </c>
      <c r="F78" s="35" t="s">
        <v>141</v>
      </c>
      <c r="G78" s="35" t="s">
        <v>1264</v>
      </c>
      <c r="H78" s="35" t="s">
        <v>1263</v>
      </c>
      <c r="I78" s="35" t="s">
        <v>1262</v>
      </c>
      <c r="J78" s="35" t="s">
        <v>1261</v>
      </c>
      <c r="K78" s="35" t="s">
        <v>1260</v>
      </c>
      <c r="L78" s="34"/>
      <c r="M78" s="34"/>
      <c r="N78" s="34"/>
    </row>
    <row r="79" spans="2:14" s="4" customFormat="1" ht="45.75" customHeight="1" x14ac:dyDescent="0.25">
      <c r="B79" s="271" t="s">
        <v>155</v>
      </c>
      <c r="C79" s="271" t="s">
        <v>156</v>
      </c>
      <c r="D79" s="280"/>
      <c r="E79" s="33" t="s">
        <v>333</v>
      </c>
      <c r="F79" s="35" t="s">
        <v>999</v>
      </c>
      <c r="G79" s="35" t="s">
        <v>1267</v>
      </c>
      <c r="H79" s="35" t="s">
        <v>993</v>
      </c>
      <c r="I79" s="35" t="s">
        <v>996</v>
      </c>
      <c r="J79" s="35" t="s">
        <v>995</v>
      </c>
      <c r="K79" s="35" t="s">
        <v>994</v>
      </c>
      <c r="L79" s="34"/>
      <c r="M79" s="34"/>
      <c r="N79" s="34"/>
    </row>
    <row r="80" spans="2:14" s="4" customFormat="1" x14ac:dyDescent="0.25">
      <c r="B80" s="271"/>
      <c r="C80" s="271"/>
      <c r="D80" s="280"/>
      <c r="E80" s="33" t="s">
        <v>334</v>
      </c>
      <c r="F80" s="35" t="s">
        <v>998</v>
      </c>
      <c r="G80" s="35" t="s">
        <v>1266</v>
      </c>
      <c r="H80" s="35" t="s">
        <v>1269</v>
      </c>
      <c r="I80" s="35" t="s">
        <v>1271</v>
      </c>
      <c r="J80" s="35" t="s">
        <v>1273</v>
      </c>
      <c r="K80" s="35" t="s">
        <v>1275</v>
      </c>
      <c r="L80" s="34"/>
      <c r="M80" s="34"/>
      <c r="N80" s="34"/>
    </row>
    <row r="81" spans="2:14" s="4" customFormat="1" x14ac:dyDescent="0.25">
      <c r="B81" s="271"/>
      <c r="C81" s="271"/>
      <c r="D81" s="280"/>
      <c r="E81" s="33" t="s">
        <v>335</v>
      </c>
      <c r="F81" s="35" t="s">
        <v>141</v>
      </c>
      <c r="G81" s="35" t="s">
        <v>1265</v>
      </c>
      <c r="H81" s="35" t="s">
        <v>1268</v>
      </c>
      <c r="I81" s="35" t="s">
        <v>1270</v>
      </c>
      <c r="J81" s="35" t="s">
        <v>1272</v>
      </c>
      <c r="K81" s="35" t="s">
        <v>1274</v>
      </c>
      <c r="L81" s="34"/>
      <c r="M81" s="34"/>
      <c r="N81" s="34"/>
    </row>
    <row r="82" spans="2:14" s="4" customFormat="1" ht="29.25" customHeight="1" x14ac:dyDescent="0.25">
      <c r="B82" s="271" t="s">
        <v>158</v>
      </c>
      <c r="C82" s="271" t="s">
        <v>159</v>
      </c>
      <c r="D82" s="280"/>
      <c r="E82" s="33" t="s">
        <v>333</v>
      </c>
      <c r="F82" s="35" t="s">
        <v>1004</v>
      </c>
      <c r="G82" s="35" t="s">
        <v>1003</v>
      </c>
      <c r="H82" s="35" t="s">
        <v>1002</v>
      </c>
      <c r="I82" s="35" t="s">
        <v>1283</v>
      </c>
      <c r="J82" s="35" t="s">
        <v>1006</v>
      </c>
      <c r="K82" s="35" t="s">
        <v>1005</v>
      </c>
      <c r="L82" s="34"/>
      <c r="M82" s="34"/>
      <c r="N82" s="34"/>
    </row>
    <row r="83" spans="2:14" s="4" customFormat="1" x14ac:dyDescent="0.25">
      <c r="B83" s="271"/>
      <c r="C83" s="271"/>
      <c r="D83" s="280"/>
      <c r="E83" s="33" t="s">
        <v>334</v>
      </c>
      <c r="F83" s="35" t="s">
        <v>473</v>
      </c>
      <c r="G83" s="35" t="s">
        <v>1277</v>
      </c>
      <c r="H83" s="35" t="s">
        <v>1279</v>
      </c>
      <c r="I83" s="35" t="s">
        <v>1282</v>
      </c>
      <c r="J83" s="35" t="s">
        <v>1007</v>
      </c>
      <c r="K83" s="35" t="s">
        <v>1285</v>
      </c>
      <c r="L83" s="34"/>
      <c r="M83" s="34"/>
      <c r="N83" s="34"/>
    </row>
    <row r="84" spans="2:14" s="4" customFormat="1" x14ac:dyDescent="0.25">
      <c r="B84" s="271"/>
      <c r="C84" s="271"/>
      <c r="D84" s="280"/>
      <c r="E84" s="33" t="s">
        <v>335</v>
      </c>
      <c r="F84" s="35" t="s">
        <v>141</v>
      </c>
      <c r="G84" s="35" t="s">
        <v>1276</v>
      </c>
      <c r="H84" s="35" t="s">
        <v>1278</v>
      </c>
      <c r="I84" s="35" t="s">
        <v>1280</v>
      </c>
      <c r="J84" s="35" t="s">
        <v>1281</v>
      </c>
      <c r="K84" s="35" t="s">
        <v>1284</v>
      </c>
      <c r="L84" s="34"/>
      <c r="M84" s="34"/>
      <c r="N84" s="34"/>
    </row>
    <row r="85" spans="2:14" s="4" customFormat="1" ht="35.25" customHeight="1" x14ac:dyDescent="0.25">
      <c r="B85" s="271" t="s">
        <v>474</v>
      </c>
      <c r="C85" s="271" t="s">
        <v>161</v>
      </c>
      <c r="D85" s="280"/>
      <c r="E85" s="33" t="s">
        <v>333</v>
      </c>
      <c r="F85" s="35" t="s">
        <v>1010</v>
      </c>
      <c r="G85" s="35" t="s">
        <v>1008</v>
      </c>
      <c r="H85" s="35" t="s">
        <v>1294</v>
      </c>
      <c r="I85" s="35" t="s">
        <v>1293</v>
      </c>
      <c r="J85" s="35" t="s">
        <v>1290</v>
      </c>
      <c r="K85" s="35" t="s">
        <v>1009</v>
      </c>
      <c r="L85" s="34"/>
      <c r="M85" s="34"/>
      <c r="N85" s="34"/>
    </row>
    <row r="86" spans="2:14" s="4" customFormat="1" x14ac:dyDescent="0.25">
      <c r="B86" s="271"/>
      <c r="C86" s="271"/>
      <c r="D86" s="280"/>
      <c r="E86" s="33" t="s">
        <v>334</v>
      </c>
      <c r="F86" s="35" t="s">
        <v>475</v>
      </c>
      <c r="G86" s="35" t="s">
        <v>476</v>
      </c>
      <c r="H86" s="35" t="s">
        <v>1295</v>
      </c>
      <c r="I86" s="35" t="s">
        <v>1292</v>
      </c>
      <c r="J86" s="35" t="s">
        <v>1291</v>
      </c>
      <c r="K86" s="35" t="s">
        <v>1011</v>
      </c>
      <c r="L86" s="34"/>
      <c r="M86" s="34"/>
      <c r="N86" s="34"/>
    </row>
    <row r="87" spans="2:14" s="4" customFormat="1" x14ac:dyDescent="0.25">
      <c r="B87" s="271"/>
      <c r="C87" s="271"/>
      <c r="D87" s="280"/>
      <c r="E87" s="33" t="s">
        <v>335</v>
      </c>
      <c r="F87" s="35" t="s">
        <v>141</v>
      </c>
      <c r="G87" s="35" t="s">
        <v>1286</v>
      </c>
      <c r="H87" s="35" t="s">
        <v>1296</v>
      </c>
      <c r="I87" s="35" t="s">
        <v>1287</v>
      </c>
      <c r="J87" s="35" t="s">
        <v>1288</v>
      </c>
      <c r="K87" s="35" t="s">
        <v>1289</v>
      </c>
      <c r="L87" s="34"/>
      <c r="M87" s="34"/>
      <c r="N87" s="34"/>
    </row>
    <row r="88" spans="2:14" s="4" customFormat="1" ht="66.75" customHeight="1" x14ac:dyDescent="0.25">
      <c r="B88" s="271" t="s">
        <v>165</v>
      </c>
      <c r="C88" s="271" t="s">
        <v>166</v>
      </c>
      <c r="D88" s="280"/>
      <c r="E88" s="33" t="s">
        <v>333</v>
      </c>
      <c r="F88" s="35" t="s">
        <v>1308</v>
      </c>
      <c r="G88" s="35" t="s">
        <v>1306</v>
      </c>
      <c r="H88" s="35" t="s">
        <v>1304</v>
      </c>
      <c r="I88" s="35" t="s">
        <v>1302</v>
      </c>
      <c r="J88" s="35" t="s">
        <v>1300</v>
      </c>
      <c r="K88" s="35" t="s">
        <v>1297</v>
      </c>
      <c r="L88" s="34"/>
      <c r="M88" s="34"/>
      <c r="N88" s="34"/>
    </row>
    <row r="89" spans="2:14" s="4" customFormat="1" x14ac:dyDescent="0.25">
      <c r="B89" s="271"/>
      <c r="C89" s="271"/>
      <c r="D89" s="280"/>
      <c r="E89" s="33" t="s">
        <v>334</v>
      </c>
      <c r="F89" s="35" t="s">
        <v>478</v>
      </c>
      <c r="G89" s="35" t="s">
        <v>479</v>
      </c>
      <c r="H89" s="35" t="s">
        <v>481</v>
      </c>
      <c r="I89" s="35" t="s">
        <v>482</v>
      </c>
      <c r="J89" s="35" t="s">
        <v>483</v>
      </c>
      <c r="K89" s="35" t="s">
        <v>1298</v>
      </c>
      <c r="L89" s="34"/>
      <c r="M89" s="34"/>
      <c r="N89" s="34"/>
    </row>
    <row r="90" spans="2:14" s="4" customFormat="1" x14ac:dyDescent="0.25">
      <c r="B90" s="271"/>
      <c r="C90" s="271"/>
      <c r="D90" s="280"/>
      <c r="E90" s="33" t="s">
        <v>335</v>
      </c>
      <c r="F90" s="35" t="s">
        <v>480</v>
      </c>
      <c r="G90" s="35" t="s">
        <v>1307</v>
      </c>
      <c r="H90" s="35" t="s">
        <v>1305</v>
      </c>
      <c r="I90" s="35" t="s">
        <v>1303</v>
      </c>
      <c r="J90" s="35" t="s">
        <v>1301</v>
      </c>
      <c r="K90" s="35" t="s">
        <v>1299</v>
      </c>
      <c r="L90" s="34"/>
      <c r="M90" s="34"/>
      <c r="N90" s="34"/>
    </row>
    <row r="91" spans="2:14" s="4" customFormat="1" ht="115.5" customHeight="1" x14ac:dyDescent="0.25">
      <c r="B91" s="271" t="s">
        <v>167</v>
      </c>
      <c r="C91" s="282" t="s">
        <v>168</v>
      </c>
      <c r="D91" s="280"/>
      <c r="E91" s="33" t="s">
        <v>333</v>
      </c>
      <c r="F91" s="34" t="s">
        <v>141</v>
      </c>
      <c r="G91" s="34" t="s">
        <v>141</v>
      </c>
      <c r="H91" s="34" t="s">
        <v>141</v>
      </c>
      <c r="I91" s="34" t="s">
        <v>141</v>
      </c>
      <c r="J91" s="34" t="s">
        <v>141</v>
      </c>
      <c r="K91" s="34" t="s">
        <v>141</v>
      </c>
      <c r="L91" s="34"/>
      <c r="M91" s="34"/>
      <c r="N91" s="34"/>
    </row>
    <row r="92" spans="2:14" s="4" customFormat="1" x14ac:dyDescent="0.25">
      <c r="B92" s="271"/>
      <c r="C92" s="282"/>
      <c r="D92" s="280"/>
      <c r="E92" s="33" t="s">
        <v>334</v>
      </c>
      <c r="F92" s="34" t="s">
        <v>141</v>
      </c>
      <c r="G92" s="34" t="s">
        <v>141</v>
      </c>
      <c r="H92" s="34" t="s">
        <v>141</v>
      </c>
      <c r="I92" s="34" t="s">
        <v>141</v>
      </c>
      <c r="J92" s="34" t="s">
        <v>141</v>
      </c>
      <c r="K92" s="34" t="s">
        <v>141</v>
      </c>
      <c r="L92" s="34"/>
      <c r="M92" s="34"/>
      <c r="N92" s="34"/>
    </row>
    <row r="93" spans="2:14" s="4" customFormat="1" x14ac:dyDescent="0.25">
      <c r="B93" s="271"/>
      <c r="C93" s="282"/>
      <c r="D93" s="280"/>
      <c r="E93" s="33" t="s">
        <v>335</v>
      </c>
      <c r="F93" s="34" t="s">
        <v>141</v>
      </c>
      <c r="G93" s="34" t="s">
        <v>141</v>
      </c>
      <c r="H93" s="34" t="s">
        <v>141</v>
      </c>
      <c r="I93" s="34" t="s">
        <v>141</v>
      </c>
      <c r="J93" s="34" t="s">
        <v>141</v>
      </c>
      <c r="K93" s="34" t="s">
        <v>141</v>
      </c>
      <c r="L93" s="34"/>
      <c r="M93" s="34"/>
      <c r="N93" s="34"/>
    </row>
    <row r="94" spans="2:14" s="4" customFormat="1" ht="26.25" customHeight="1" x14ac:dyDescent="0.25">
      <c r="B94" s="271" t="s">
        <v>169</v>
      </c>
      <c r="C94" s="271" t="s">
        <v>170</v>
      </c>
      <c r="D94" s="280"/>
      <c r="E94" s="33" t="s">
        <v>333</v>
      </c>
      <c r="F94" s="35" t="s">
        <v>997</v>
      </c>
      <c r="G94" s="35" t="s">
        <v>1318</v>
      </c>
      <c r="H94" s="35" t="s">
        <v>1316</v>
      </c>
      <c r="I94" s="35" t="s">
        <v>1314</v>
      </c>
      <c r="J94" s="35" t="s">
        <v>1312</v>
      </c>
      <c r="K94" s="35" t="s">
        <v>1309</v>
      </c>
      <c r="L94" s="34"/>
      <c r="M94" s="34"/>
      <c r="N94" s="34"/>
    </row>
    <row r="95" spans="2:14" s="4" customFormat="1" x14ac:dyDescent="0.25">
      <c r="B95" s="271"/>
      <c r="C95" s="271"/>
      <c r="D95" s="280"/>
      <c r="E95" s="33" t="s">
        <v>334</v>
      </c>
      <c r="F95" s="35" t="s">
        <v>484</v>
      </c>
      <c r="G95" s="35" t="s">
        <v>485</v>
      </c>
      <c r="H95" s="35" t="s">
        <v>486</v>
      </c>
      <c r="I95" s="35" t="s">
        <v>487</v>
      </c>
      <c r="J95" s="35" t="s">
        <v>488</v>
      </c>
      <c r="K95" s="35" t="s">
        <v>1310</v>
      </c>
      <c r="L95" s="34"/>
      <c r="M95" s="34"/>
      <c r="N95" s="34"/>
    </row>
    <row r="96" spans="2:14" s="4" customFormat="1" x14ac:dyDescent="0.25">
      <c r="B96" s="271"/>
      <c r="C96" s="271"/>
      <c r="D96" s="280"/>
      <c r="E96" s="33" t="s">
        <v>335</v>
      </c>
      <c r="F96" s="35" t="s">
        <v>141</v>
      </c>
      <c r="G96" s="35" t="s">
        <v>484</v>
      </c>
      <c r="H96" s="35" t="s">
        <v>1317</v>
      </c>
      <c r="I96" s="35" t="s">
        <v>1315</v>
      </c>
      <c r="J96" s="35" t="s">
        <v>1313</v>
      </c>
      <c r="K96" s="35" t="s">
        <v>1311</v>
      </c>
      <c r="L96" s="34"/>
      <c r="M96" s="34"/>
      <c r="N96" s="34"/>
    </row>
    <row r="97" spans="2:14" s="4" customFormat="1" ht="141" customHeight="1" x14ac:dyDescent="0.25">
      <c r="B97" s="271" t="s">
        <v>171</v>
      </c>
      <c r="C97" s="282" t="s">
        <v>172</v>
      </c>
      <c r="D97" s="280"/>
      <c r="E97" s="33" t="s">
        <v>333</v>
      </c>
      <c r="F97" s="34" t="s">
        <v>141</v>
      </c>
      <c r="G97" s="34" t="s">
        <v>141</v>
      </c>
      <c r="H97" s="34" t="s">
        <v>141</v>
      </c>
      <c r="I97" s="34" t="s">
        <v>141</v>
      </c>
      <c r="J97" s="34" t="s">
        <v>141</v>
      </c>
      <c r="K97" s="34" t="s">
        <v>141</v>
      </c>
      <c r="L97" s="34"/>
      <c r="M97" s="34"/>
      <c r="N97" s="34"/>
    </row>
    <row r="98" spans="2:14" s="4" customFormat="1" x14ac:dyDescent="0.25">
      <c r="B98" s="271"/>
      <c r="C98" s="282"/>
      <c r="D98" s="280"/>
      <c r="E98" s="33" t="s">
        <v>334</v>
      </c>
      <c r="F98" s="34" t="s">
        <v>141</v>
      </c>
      <c r="G98" s="34" t="s">
        <v>141</v>
      </c>
      <c r="H98" s="34" t="s">
        <v>141</v>
      </c>
      <c r="I98" s="34" t="s">
        <v>141</v>
      </c>
      <c r="J98" s="34" t="s">
        <v>141</v>
      </c>
      <c r="K98" s="34" t="s">
        <v>141</v>
      </c>
      <c r="L98" s="34"/>
      <c r="M98" s="34"/>
      <c r="N98" s="34"/>
    </row>
    <row r="99" spans="2:14" s="4" customFormat="1" x14ac:dyDescent="0.25">
      <c r="B99" s="271"/>
      <c r="C99" s="282"/>
      <c r="D99" s="280"/>
      <c r="E99" s="33" t="s">
        <v>335</v>
      </c>
      <c r="F99" s="34" t="s">
        <v>141</v>
      </c>
      <c r="G99" s="34" t="s">
        <v>141</v>
      </c>
      <c r="H99" s="34" t="s">
        <v>141</v>
      </c>
      <c r="I99" s="34" t="s">
        <v>141</v>
      </c>
      <c r="J99" s="34" t="s">
        <v>141</v>
      </c>
      <c r="K99" s="34" t="s">
        <v>141</v>
      </c>
      <c r="L99" s="34"/>
      <c r="M99" s="34"/>
      <c r="N99" s="34"/>
    </row>
    <row r="100" spans="2:14" s="4" customFormat="1" ht="119.25" customHeight="1" x14ac:dyDescent="0.25">
      <c r="B100" s="271" t="s">
        <v>174</v>
      </c>
      <c r="C100" s="271" t="s">
        <v>175</v>
      </c>
      <c r="D100" s="280"/>
      <c r="E100" s="33" t="s">
        <v>333</v>
      </c>
      <c r="F100" s="35" t="s">
        <v>1017</v>
      </c>
      <c r="G100" s="35" t="s">
        <v>1016</v>
      </c>
      <c r="H100" s="35" t="s">
        <v>1015</v>
      </c>
      <c r="I100" s="35" t="s">
        <v>1014</v>
      </c>
      <c r="J100" s="35" t="s">
        <v>1013</v>
      </c>
      <c r="K100" s="35" t="s">
        <v>1012</v>
      </c>
      <c r="L100" s="34"/>
      <c r="M100" s="34"/>
      <c r="N100" s="34"/>
    </row>
    <row r="101" spans="2:14" s="4" customFormat="1" x14ac:dyDescent="0.25">
      <c r="B101" s="271"/>
      <c r="C101" s="271"/>
      <c r="D101" s="280"/>
      <c r="E101" s="33" t="s">
        <v>334</v>
      </c>
      <c r="F101" s="35" t="s">
        <v>1018</v>
      </c>
      <c r="G101" s="35" t="s">
        <v>1319</v>
      </c>
      <c r="H101" s="35" t="s">
        <v>489</v>
      </c>
      <c r="I101" s="35" t="s">
        <v>491</v>
      </c>
      <c r="J101" s="35" t="s">
        <v>1324</v>
      </c>
      <c r="K101" s="35" t="s">
        <v>1326</v>
      </c>
      <c r="L101" s="34"/>
      <c r="M101" s="34"/>
      <c r="N101" s="34"/>
    </row>
    <row r="102" spans="2:14" s="4" customFormat="1" x14ac:dyDescent="0.25">
      <c r="B102" s="271"/>
      <c r="C102" s="271"/>
      <c r="D102" s="280"/>
      <c r="E102" s="33" t="s">
        <v>335</v>
      </c>
      <c r="F102" s="35" t="s">
        <v>1019</v>
      </c>
      <c r="G102" s="35" t="s">
        <v>1320</v>
      </c>
      <c r="H102" s="35" t="s">
        <v>1321</v>
      </c>
      <c r="I102" s="35" t="s">
        <v>1322</v>
      </c>
      <c r="J102" s="35" t="s">
        <v>1323</v>
      </c>
      <c r="K102" s="35" t="s">
        <v>1325</v>
      </c>
      <c r="L102" s="34"/>
      <c r="M102" s="34"/>
      <c r="N102" s="34"/>
    </row>
    <row r="103" spans="2:14" s="4" customFormat="1" ht="79.5" customHeight="1" x14ac:dyDescent="0.25">
      <c r="B103" s="271" t="s">
        <v>176</v>
      </c>
      <c r="C103" s="271" t="s">
        <v>177</v>
      </c>
      <c r="D103" s="280"/>
      <c r="E103" s="33" t="s">
        <v>333</v>
      </c>
      <c r="F103" s="35" t="s">
        <v>1332</v>
      </c>
      <c r="G103" s="35" t="s">
        <v>1331</v>
      </c>
      <c r="H103" s="35" t="s">
        <v>1330</v>
      </c>
      <c r="I103" s="35" t="s">
        <v>1329</v>
      </c>
      <c r="J103" s="35" t="s">
        <v>1328</v>
      </c>
      <c r="K103" s="35" t="s">
        <v>1327</v>
      </c>
      <c r="L103" s="34"/>
      <c r="M103" s="34"/>
      <c r="N103" s="34"/>
    </row>
    <row r="104" spans="2:14" s="4" customFormat="1" x14ac:dyDescent="0.25">
      <c r="B104" s="271"/>
      <c r="C104" s="271"/>
      <c r="D104" s="280"/>
      <c r="E104" s="33" t="s">
        <v>334</v>
      </c>
      <c r="F104" s="35" t="s">
        <v>493</v>
      </c>
      <c r="G104" s="35" t="s">
        <v>494</v>
      </c>
      <c r="H104" s="35" t="s">
        <v>496</v>
      </c>
      <c r="I104" s="35" t="s">
        <v>497</v>
      </c>
      <c r="J104" s="35" t="s">
        <v>498</v>
      </c>
      <c r="K104" s="35" t="s">
        <v>1410</v>
      </c>
      <c r="L104" s="34"/>
      <c r="M104" s="34"/>
      <c r="N104" s="34"/>
    </row>
    <row r="105" spans="2:14" s="4" customFormat="1" x14ac:dyDescent="0.25">
      <c r="B105" s="271"/>
      <c r="C105" s="271"/>
      <c r="D105" s="280"/>
      <c r="E105" s="33" t="s">
        <v>335</v>
      </c>
      <c r="F105" s="35" t="s">
        <v>495</v>
      </c>
      <c r="G105" s="35" t="s">
        <v>1333</v>
      </c>
      <c r="H105" s="35" t="s">
        <v>1334</v>
      </c>
      <c r="I105" s="35" t="s">
        <v>1335</v>
      </c>
      <c r="J105" s="35" t="s">
        <v>1336</v>
      </c>
      <c r="K105" s="35" t="s">
        <v>1337</v>
      </c>
      <c r="L105" s="34"/>
      <c r="M105" s="34"/>
      <c r="N105" s="34"/>
    </row>
    <row r="106" spans="2:14" s="4" customFormat="1" ht="48" customHeight="1" x14ac:dyDescent="0.25">
      <c r="B106" s="271" t="s">
        <v>180</v>
      </c>
      <c r="C106" s="271" t="s">
        <v>181</v>
      </c>
      <c r="D106" s="280"/>
      <c r="E106" s="33" t="s">
        <v>333</v>
      </c>
      <c r="F106" s="35" t="s">
        <v>1343</v>
      </c>
      <c r="G106" s="35" t="s">
        <v>1342</v>
      </c>
      <c r="H106" s="35" t="s">
        <v>1341</v>
      </c>
      <c r="I106" s="35" t="s">
        <v>1340</v>
      </c>
      <c r="J106" s="35" t="s">
        <v>1339</v>
      </c>
      <c r="K106" s="35" t="s">
        <v>1338</v>
      </c>
      <c r="L106" s="34"/>
      <c r="M106" s="34"/>
      <c r="N106" s="34"/>
    </row>
    <row r="107" spans="2:14" s="4" customFormat="1" x14ac:dyDescent="0.25">
      <c r="B107" s="271"/>
      <c r="C107" s="271"/>
      <c r="D107" s="280"/>
      <c r="E107" s="33" t="s">
        <v>334</v>
      </c>
      <c r="F107" s="35" t="s">
        <v>499</v>
      </c>
      <c r="G107" s="35" t="s">
        <v>500</v>
      </c>
      <c r="H107" s="35" t="s">
        <v>501</v>
      </c>
      <c r="I107" s="35" t="s">
        <v>502</v>
      </c>
      <c r="J107" s="35" t="s">
        <v>503</v>
      </c>
      <c r="K107" s="35" t="s">
        <v>1411</v>
      </c>
      <c r="L107" s="34"/>
      <c r="M107" s="34"/>
      <c r="N107" s="34"/>
    </row>
    <row r="108" spans="2:14" s="4" customFormat="1" x14ac:dyDescent="0.25">
      <c r="B108" s="271"/>
      <c r="C108" s="271"/>
      <c r="D108" s="280"/>
      <c r="E108" s="33" t="s">
        <v>335</v>
      </c>
      <c r="F108" s="35">
        <v>0</v>
      </c>
      <c r="G108" s="35" t="s">
        <v>499</v>
      </c>
      <c r="H108" s="35" t="s">
        <v>1344</v>
      </c>
      <c r="I108" s="35" t="s">
        <v>1345</v>
      </c>
      <c r="J108" s="35" t="s">
        <v>1346</v>
      </c>
      <c r="K108" s="35" t="s">
        <v>1347</v>
      </c>
      <c r="L108" s="34"/>
      <c r="M108" s="34"/>
      <c r="N108" s="34"/>
    </row>
    <row r="109" spans="2:14" s="4" customFormat="1" ht="63.75" customHeight="1" x14ac:dyDescent="0.25">
      <c r="B109" s="271" t="s">
        <v>183</v>
      </c>
      <c r="C109" s="271" t="s">
        <v>184</v>
      </c>
      <c r="D109" s="280"/>
      <c r="E109" s="33" t="s">
        <v>333</v>
      </c>
      <c r="F109" s="35" t="s">
        <v>1358</v>
      </c>
      <c r="G109" s="35" t="s">
        <v>1356</v>
      </c>
      <c r="H109" s="35" t="s">
        <v>427</v>
      </c>
      <c r="I109" s="35" t="s">
        <v>1353</v>
      </c>
      <c r="J109" s="35" t="s">
        <v>1025</v>
      </c>
      <c r="K109" s="35" t="s">
        <v>1022</v>
      </c>
      <c r="L109" s="34"/>
      <c r="M109" s="34"/>
      <c r="N109" s="34"/>
    </row>
    <row r="110" spans="2:14" s="4" customFormat="1" x14ac:dyDescent="0.25">
      <c r="B110" s="271"/>
      <c r="C110" s="271"/>
      <c r="D110" s="280"/>
      <c r="E110" s="33" t="s">
        <v>334</v>
      </c>
      <c r="F110" s="35" t="s">
        <v>1026</v>
      </c>
      <c r="G110" s="35" t="s">
        <v>1357</v>
      </c>
      <c r="H110" s="35" t="s">
        <v>1355</v>
      </c>
      <c r="I110" s="35" t="s">
        <v>1354</v>
      </c>
      <c r="J110" s="35" t="s">
        <v>1024</v>
      </c>
      <c r="K110" s="35" t="s">
        <v>1023</v>
      </c>
      <c r="L110" s="34"/>
      <c r="M110" s="34"/>
      <c r="N110" s="34"/>
    </row>
    <row r="111" spans="2:14" s="4" customFormat="1" x14ac:dyDescent="0.25">
      <c r="B111" s="271"/>
      <c r="C111" s="271"/>
      <c r="D111" s="280"/>
      <c r="E111" s="33" t="s">
        <v>335</v>
      </c>
      <c r="F111" s="35" t="s">
        <v>504</v>
      </c>
      <c r="G111" s="35" t="s">
        <v>1348</v>
      </c>
      <c r="H111" s="35" t="s">
        <v>1349</v>
      </c>
      <c r="I111" s="35" t="s">
        <v>1350</v>
      </c>
      <c r="J111" s="35" t="s">
        <v>1351</v>
      </c>
      <c r="K111" s="35" t="s">
        <v>1352</v>
      </c>
      <c r="L111" s="34"/>
      <c r="M111" s="34"/>
      <c r="N111" s="34"/>
    </row>
    <row r="112" spans="2:14" s="4" customFormat="1" ht="119.25" customHeight="1" x14ac:dyDescent="0.25">
      <c r="B112" s="271" t="s">
        <v>186</v>
      </c>
      <c r="C112" s="282" t="s">
        <v>187</v>
      </c>
      <c r="D112" s="280"/>
      <c r="E112" s="33" t="s">
        <v>333</v>
      </c>
      <c r="F112" s="34" t="s">
        <v>141</v>
      </c>
      <c r="G112" s="34" t="s">
        <v>141</v>
      </c>
      <c r="H112" s="34" t="s">
        <v>141</v>
      </c>
      <c r="I112" s="34" t="s">
        <v>141</v>
      </c>
      <c r="J112" s="34" t="s">
        <v>141</v>
      </c>
      <c r="K112" s="34" t="s">
        <v>141</v>
      </c>
      <c r="L112" s="34"/>
      <c r="M112" s="34"/>
      <c r="N112" s="34"/>
    </row>
    <row r="113" spans="2:14" s="4" customFormat="1" x14ac:dyDescent="0.25">
      <c r="B113" s="271"/>
      <c r="C113" s="282"/>
      <c r="D113" s="280"/>
      <c r="E113" s="33" t="s">
        <v>334</v>
      </c>
      <c r="F113" s="34" t="s">
        <v>141</v>
      </c>
      <c r="G113" s="34" t="s">
        <v>141</v>
      </c>
      <c r="H113" s="34" t="s">
        <v>141</v>
      </c>
      <c r="I113" s="34" t="s">
        <v>141</v>
      </c>
      <c r="J113" s="34" t="s">
        <v>141</v>
      </c>
      <c r="K113" s="34" t="s">
        <v>141</v>
      </c>
      <c r="L113" s="34"/>
      <c r="M113" s="34"/>
      <c r="N113" s="34"/>
    </row>
    <row r="114" spans="2:14" s="4" customFormat="1" x14ac:dyDescent="0.25">
      <c r="B114" s="271"/>
      <c r="C114" s="282"/>
      <c r="D114" s="280"/>
      <c r="E114" s="33" t="s">
        <v>335</v>
      </c>
      <c r="F114" s="34" t="s">
        <v>141</v>
      </c>
      <c r="G114" s="34" t="s">
        <v>141</v>
      </c>
      <c r="H114" s="34" t="s">
        <v>141</v>
      </c>
      <c r="I114" s="34" t="s">
        <v>141</v>
      </c>
      <c r="J114" s="34" t="s">
        <v>141</v>
      </c>
      <c r="K114" s="34" t="s">
        <v>141</v>
      </c>
      <c r="L114" s="34"/>
      <c r="M114" s="34"/>
      <c r="N114" s="34"/>
    </row>
    <row r="115" spans="2:14" s="4" customFormat="1" ht="48" customHeight="1" x14ac:dyDescent="0.25">
      <c r="B115" s="271" t="s">
        <v>189</v>
      </c>
      <c r="C115" s="271" t="s">
        <v>190</v>
      </c>
      <c r="D115" s="280"/>
      <c r="E115" s="33" t="s">
        <v>333</v>
      </c>
      <c r="F115" s="35" t="s">
        <v>1364</v>
      </c>
      <c r="G115" s="35" t="s">
        <v>1363</v>
      </c>
      <c r="H115" s="35" t="s">
        <v>1362</v>
      </c>
      <c r="I115" s="35" t="s">
        <v>1361</v>
      </c>
      <c r="J115" s="35" t="s">
        <v>1360</v>
      </c>
      <c r="K115" s="35" t="s">
        <v>1359</v>
      </c>
      <c r="L115" s="34"/>
      <c r="M115" s="34"/>
      <c r="N115" s="34"/>
    </row>
    <row r="116" spans="2:14" s="4" customFormat="1" x14ac:dyDescent="0.25">
      <c r="B116" s="271"/>
      <c r="C116" s="271"/>
      <c r="D116" s="280"/>
      <c r="E116" s="33" t="s">
        <v>334</v>
      </c>
      <c r="F116" s="35" t="s">
        <v>505</v>
      </c>
      <c r="G116" s="35" t="s">
        <v>507</v>
      </c>
      <c r="H116" s="35" t="s">
        <v>508</v>
      </c>
      <c r="I116" s="35" t="s">
        <v>509</v>
      </c>
      <c r="J116" s="35" t="s">
        <v>510</v>
      </c>
      <c r="K116" s="35" t="s">
        <v>1412</v>
      </c>
      <c r="L116" s="34"/>
      <c r="M116" s="34"/>
      <c r="N116" s="34"/>
    </row>
    <row r="117" spans="2:14" s="4" customFormat="1" x14ac:dyDescent="0.25">
      <c r="B117" s="271"/>
      <c r="C117" s="271"/>
      <c r="D117" s="280"/>
      <c r="E117" s="33" t="s">
        <v>335</v>
      </c>
      <c r="F117" s="35" t="s">
        <v>506</v>
      </c>
      <c r="G117" s="35" t="s">
        <v>1365</v>
      </c>
      <c r="H117" s="35" t="s">
        <v>1366</v>
      </c>
      <c r="I117" s="35" t="s">
        <v>1367</v>
      </c>
      <c r="J117" s="35" t="s">
        <v>1368</v>
      </c>
      <c r="K117" s="35" t="s">
        <v>1369</v>
      </c>
      <c r="L117" s="34"/>
      <c r="M117" s="34"/>
      <c r="N117" s="34"/>
    </row>
    <row r="118" spans="2:14" s="4" customFormat="1" ht="63.75" customHeight="1" x14ac:dyDescent="0.25">
      <c r="B118" s="271" t="s">
        <v>192</v>
      </c>
      <c r="C118" s="271" t="s">
        <v>193</v>
      </c>
      <c r="D118" s="280"/>
      <c r="E118" s="33" t="s">
        <v>333</v>
      </c>
      <c r="F118" s="35" t="s">
        <v>1035</v>
      </c>
      <c r="G118" s="35" t="s">
        <v>1373</v>
      </c>
      <c r="H118" s="35" t="s">
        <v>1032</v>
      </c>
      <c r="I118" s="35" t="s">
        <v>1031</v>
      </c>
      <c r="J118" s="35" t="s">
        <v>1030</v>
      </c>
      <c r="K118" s="35" t="s">
        <v>1029</v>
      </c>
      <c r="L118" s="34"/>
      <c r="M118" s="34"/>
      <c r="N118" s="34"/>
    </row>
    <row r="119" spans="2:14" s="4" customFormat="1" ht="30" x14ac:dyDescent="0.25">
      <c r="B119" s="271"/>
      <c r="C119" s="271"/>
      <c r="D119" s="280"/>
      <c r="E119" s="33" t="s">
        <v>334</v>
      </c>
      <c r="F119" s="35" t="s">
        <v>1034</v>
      </c>
      <c r="G119" s="35" t="s">
        <v>1372</v>
      </c>
      <c r="H119" s="35" t="s">
        <v>1033</v>
      </c>
      <c r="I119" s="35" t="s">
        <v>1375</v>
      </c>
      <c r="J119" s="35" t="s">
        <v>1377</v>
      </c>
      <c r="K119" s="35" t="s">
        <v>1379</v>
      </c>
      <c r="L119" s="34"/>
      <c r="M119" s="34"/>
      <c r="N119" s="34"/>
    </row>
    <row r="120" spans="2:14" s="4" customFormat="1" x14ac:dyDescent="0.25">
      <c r="B120" s="271"/>
      <c r="C120" s="271"/>
      <c r="D120" s="280"/>
      <c r="E120" s="33" t="s">
        <v>335</v>
      </c>
      <c r="F120" s="35" t="s">
        <v>511</v>
      </c>
      <c r="G120" s="35" t="s">
        <v>1370</v>
      </c>
      <c r="H120" s="35" t="s">
        <v>1371</v>
      </c>
      <c r="I120" s="35" t="s">
        <v>1374</v>
      </c>
      <c r="J120" s="35" t="s">
        <v>1376</v>
      </c>
      <c r="K120" s="35" t="s">
        <v>1378</v>
      </c>
      <c r="L120" s="34"/>
      <c r="M120" s="34"/>
      <c r="N120" s="34"/>
    </row>
    <row r="121" spans="2:14" s="4" customFormat="1" ht="63.75" customHeight="1" x14ac:dyDescent="0.25">
      <c r="B121" s="271" t="s">
        <v>194</v>
      </c>
      <c r="C121" s="271" t="s">
        <v>195</v>
      </c>
      <c r="D121" s="280"/>
      <c r="E121" s="33" t="s">
        <v>333</v>
      </c>
      <c r="F121" s="35" t="s">
        <v>1106</v>
      </c>
      <c r="G121" s="35" t="s">
        <v>1105</v>
      </c>
      <c r="H121" s="35" t="s">
        <v>1132</v>
      </c>
      <c r="I121" s="35" t="s">
        <v>896</v>
      </c>
      <c r="J121" s="35" t="s">
        <v>1380</v>
      </c>
      <c r="K121" s="35" t="s">
        <v>1054</v>
      </c>
      <c r="L121" s="34"/>
      <c r="M121" s="34"/>
      <c r="N121" s="34"/>
    </row>
    <row r="122" spans="2:14" s="4" customFormat="1" x14ac:dyDescent="0.25">
      <c r="B122" s="271"/>
      <c r="C122" s="271"/>
      <c r="D122" s="280"/>
      <c r="E122" s="33" t="s">
        <v>334</v>
      </c>
      <c r="F122" s="35" t="s">
        <v>512</v>
      </c>
      <c r="G122" s="35" t="s">
        <v>513</v>
      </c>
      <c r="H122" s="35" t="s">
        <v>514</v>
      </c>
      <c r="I122" s="35" t="s">
        <v>515</v>
      </c>
      <c r="J122" s="35" t="s">
        <v>516</v>
      </c>
      <c r="K122" s="35" t="s">
        <v>1413</v>
      </c>
      <c r="L122" s="34"/>
      <c r="M122" s="34"/>
      <c r="N122" s="34"/>
    </row>
    <row r="123" spans="2:14" s="4" customFormat="1" x14ac:dyDescent="0.25">
      <c r="B123" s="271"/>
      <c r="C123" s="271"/>
      <c r="D123" s="280"/>
      <c r="E123" s="33" t="s">
        <v>335</v>
      </c>
      <c r="F123" s="35">
        <v>0</v>
      </c>
      <c r="G123" s="35" t="s">
        <v>512</v>
      </c>
      <c r="H123" s="35" t="s">
        <v>548</v>
      </c>
      <c r="I123" s="35" t="s">
        <v>1131</v>
      </c>
      <c r="J123" s="35" t="s">
        <v>897</v>
      </c>
      <c r="K123" s="35" t="s">
        <v>490</v>
      </c>
      <c r="L123" s="34"/>
      <c r="M123" s="34"/>
      <c r="N123" s="34"/>
    </row>
    <row r="124" spans="2:14" s="4" customFormat="1" ht="95.25" customHeight="1" x14ac:dyDescent="0.25">
      <c r="B124" s="271" t="s">
        <v>196</v>
      </c>
      <c r="C124" s="271" t="s">
        <v>197</v>
      </c>
      <c r="D124" s="280"/>
      <c r="E124" s="33" t="s">
        <v>333</v>
      </c>
      <c r="F124" s="35" t="s">
        <v>374</v>
      </c>
      <c r="G124" s="35" t="s">
        <v>1051</v>
      </c>
      <c r="H124" s="35" t="s">
        <v>1050</v>
      </c>
      <c r="I124" s="35" t="s">
        <v>1048</v>
      </c>
      <c r="J124" s="35" t="s">
        <v>1046</v>
      </c>
      <c r="K124" s="35" t="s">
        <v>1038</v>
      </c>
      <c r="L124" s="34"/>
      <c r="M124" s="34"/>
      <c r="N124" s="34"/>
    </row>
    <row r="125" spans="2:14" s="4" customFormat="1" x14ac:dyDescent="0.25">
      <c r="B125" s="271"/>
      <c r="C125" s="271"/>
      <c r="D125" s="280"/>
      <c r="E125" s="33" t="s">
        <v>334</v>
      </c>
      <c r="F125" s="35" t="s">
        <v>517</v>
      </c>
      <c r="G125" s="35" t="s">
        <v>518</v>
      </c>
      <c r="H125" s="35" t="s">
        <v>519</v>
      </c>
      <c r="I125" s="35" t="s">
        <v>1049</v>
      </c>
      <c r="J125" s="35" t="s">
        <v>1047</v>
      </c>
      <c r="K125" s="35" t="s">
        <v>1039</v>
      </c>
      <c r="L125" s="34"/>
      <c r="M125" s="34"/>
      <c r="N125" s="34"/>
    </row>
    <row r="126" spans="2:14" s="4" customFormat="1" x14ac:dyDescent="0.25">
      <c r="B126" s="271"/>
      <c r="C126" s="271"/>
      <c r="D126" s="280"/>
      <c r="E126" s="33" t="s">
        <v>335</v>
      </c>
      <c r="F126" s="35" t="s">
        <v>1040</v>
      </c>
      <c r="G126" s="35" t="s">
        <v>1041</v>
      </c>
      <c r="H126" s="35" t="s">
        <v>1042</v>
      </c>
      <c r="I126" s="35" t="s">
        <v>1043</v>
      </c>
      <c r="J126" s="35" t="s">
        <v>1044</v>
      </c>
      <c r="K126" s="35" t="s">
        <v>1045</v>
      </c>
      <c r="L126" s="34"/>
      <c r="M126" s="34"/>
      <c r="N126" s="34"/>
    </row>
    <row r="127" spans="2:14" s="4" customFormat="1" ht="79.5" customHeight="1" x14ac:dyDescent="0.25">
      <c r="B127" s="271" t="s">
        <v>201</v>
      </c>
      <c r="C127" s="271" t="s">
        <v>203</v>
      </c>
      <c r="D127" s="280"/>
      <c r="E127" s="33" t="s">
        <v>333</v>
      </c>
      <c r="F127" s="35" t="s">
        <v>1327</v>
      </c>
      <c r="G127" s="35" t="s">
        <v>914</v>
      </c>
      <c r="H127" s="35" t="s">
        <v>424</v>
      </c>
      <c r="I127" s="35" t="s">
        <v>1381</v>
      </c>
      <c r="J127" s="35" t="s">
        <v>1097</v>
      </c>
      <c r="K127" s="35" t="s">
        <v>427</v>
      </c>
      <c r="L127" s="34"/>
      <c r="M127" s="34"/>
      <c r="N127" s="34"/>
    </row>
    <row r="128" spans="2:14" s="4" customFormat="1" x14ac:dyDescent="0.25">
      <c r="B128" s="271"/>
      <c r="C128" s="271"/>
      <c r="D128" s="280"/>
      <c r="E128" s="33" t="s">
        <v>334</v>
      </c>
      <c r="F128" s="35" t="s">
        <v>520</v>
      </c>
      <c r="G128" s="35" t="s">
        <v>521</v>
      </c>
      <c r="H128" s="35" t="s">
        <v>522</v>
      </c>
      <c r="I128" s="35" t="s">
        <v>523</v>
      </c>
      <c r="J128" s="35" t="s">
        <v>524</v>
      </c>
      <c r="K128" s="35" t="s">
        <v>1414</v>
      </c>
      <c r="L128" s="34"/>
      <c r="M128" s="34"/>
      <c r="N128" s="34"/>
    </row>
    <row r="129" spans="2:14" s="4" customFormat="1" x14ac:dyDescent="0.25">
      <c r="B129" s="271"/>
      <c r="C129" s="271"/>
      <c r="D129" s="280"/>
      <c r="E129" s="33" t="s">
        <v>335</v>
      </c>
      <c r="F129" s="35">
        <v>0</v>
      </c>
      <c r="G129" s="35" t="s">
        <v>520</v>
      </c>
      <c r="H129" s="35" t="s">
        <v>1183</v>
      </c>
      <c r="I129" s="35" t="s">
        <v>421</v>
      </c>
      <c r="J129" s="35" t="s">
        <v>1382</v>
      </c>
      <c r="K129" s="35" t="s">
        <v>1383</v>
      </c>
      <c r="L129" s="34"/>
      <c r="M129" s="34"/>
      <c r="N129" s="34"/>
    </row>
    <row r="130" spans="2:14" s="4" customFormat="1" ht="63.75" customHeight="1" x14ac:dyDescent="0.25">
      <c r="B130" s="271" t="s">
        <v>202</v>
      </c>
      <c r="C130" s="271" t="s">
        <v>204</v>
      </c>
      <c r="D130" s="280"/>
      <c r="E130" s="33" t="s">
        <v>333</v>
      </c>
      <c r="F130" s="35" t="s">
        <v>1052</v>
      </c>
      <c r="G130" s="35" t="s">
        <v>1053</v>
      </c>
      <c r="H130" s="35" t="s">
        <v>1062</v>
      </c>
      <c r="I130" s="35" t="s">
        <v>1059</v>
      </c>
      <c r="J130" s="35" t="s">
        <v>1056</v>
      </c>
      <c r="K130" s="35" t="s">
        <v>1054</v>
      </c>
      <c r="L130" s="34"/>
      <c r="M130" s="34"/>
      <c r="N130" s="34"/>
    </row>
    <row r="131" spans="2:14" s="4" customFormat="1" x14ac:dyDescent="0.25">
      <c r="B131" s="271"/>
      <c r="C131" s="271"/>
      <c r="D131" s="280"/>
      <c r="E131" s="33" t="s">
        <v>334</v>
      </c>
      <c r="F131" s="35" t="s">
        <v>525</v>
      </c>
      <c r="G131" s="35" t="s">
        <v>527</v>
      </c>
      <c r="H131" s="35" t="s">
        <v>528</v>
      </c>
      <c r="I131" s="35" t="s">
        <v>1060</v>
      </c>
      <c r="J131" s="35" t="s">
        <v>1057</v>
      </c>
      <c r="K131" s="35" t="s">
        <v>529</v>
      </c>
      <c r="L131" s="34"/>
      <c r="M131" s="34"/>
      <c r="N131" s="34"/>
    </row>
    <row r="132" spans="2:14" s="4" customFormat="1" x14ac:dyDescent="0.25">
      <c r="B132" s="271"/>
      <c r="C132" s="271"/>
      <c r="D132" s="280"/>
      <c r="E132" s="33" t="s">
        <v>335</v>
      </c>
      <c r="F132" s="35" t="s">
        <v>526</v>
      </c>
      <c r="G132" s="35" t="s">
        <v>1064</v>
      </c>
      <c r="H132" s="35" t="s">
        <v>1063</v>
      </c>
      <c r="I132" s="35" t="s">
        <v>1061</v>
      </c>
      <c r="J132" s="35" t="s">
        <v>1058</v>
      </c>
      <c r="K132" s="35" t="s">
        <v>1055</v>
      </c>
      <c r="L132" s="34"/>
      <c r="M132" s="34"/>
      <c r="N132" s="34"/>
    </row>
    <row r="133" spans="2:14" s="4" customFormat="1" ht="48" customHeight="1" x14ac:dyDescent="0.25">
      <c r="B133" s="271" t="s">
        <v>207</v>
      </c>
      <c r="C133" s="271" t="s">
        <v>208</v>
      </c>
      <c r="D133" s="280"/>
      <c r="E133" s="33" t="s">
        <v>333</v>
      </c>
      <c r="F133" s="35" t="s">
        <v>1137</v>
      </c>
      <c r="G133" s="35" t="s">
        <v>1136</v>
      </c>
      <c r="H133" s="35" t="s">
        <v>1385</v>
      </c>
      <c r="I133" s="35" t="s">
        <v>1384</v>
      </c>
      <c r="J133" s="35" t="s">
        <v>1327</v>
      </c>
      <c r="K133" s="35" t="s">
        <v>1129</v>
      </c>
      <c r="L133" s="34"/>
      <c r="M133" s="34"/>
      <c r="N133" s="34"/>
    </row>
    <row r="134" spans="2:14" s="4" customFormat="1" x14ac:dyDescent="0.25">
      <c r="B134" s="271"/>
      <c r="C134" s="271"/>
      <c r="D134" s="280"/>
      <c r="E134" s="33" t="s">
        <v>334</v>
      </c>
      <c r="F134" s="35" t="s">
        <v>477</v>
      </c>
      <c r="G134" s="35" t="s">
        <v>530</v>
      </c>
      <c r="H134" s="35" t="s">
        <v>531</v>
      </c>
      <c r="I134" s="35" t="s">
        <v>532</v>
      </c>
      <c r="J134" s="35" t="s">
        <v>533</v>
      </c>
      <c r="K134" s="35" t="s">
        <v>1388</v>
      </c>
      <c r="L134" s="34"/>
      <c r="M134" s="34"/>
      <c r="N134" s="34"/>
    </row>
    <row r="135" spans="2:14" s="4" customFormat="1" x14ac:dyDescent="0.25">
      <c r="B135" s="271"/>
      <c r="C135" s="271"/>
      <c r="D135" s="280"/>
      <c r="E135" s="33" t="s">
        <v>335</v>
      </c>
      <c r="F135" s="35">
        <v>0</v>
      </c>
      <c r="G135" s="35" t="s">
        <v>477</v>
      </c>
      <c r="H135" s="35" t="s">
        <v>1135</v>
      </c>
      <c r="I135" s="35" t="s">
        <v>1386</v>
      </c>
      <c r="J135" s="35" t="s">
        <v>1387</v>
      </c>
      <c r="K135" s="35" t="s">
        <v>520</v>
      </c>
      <c r="L135" s="34"/>
      <c r="M135" s="34"/>
      <c r="N135" s="34"/>
    </row>
    <row r="136" spans="2:14" s="4" customFormat="1" ht="33.75" customHeight="1" x14ac:dyDescent="0.25">
      <c r="B136" s="271" t="s">
        <v>209</v>
      </c>
      <c r="C136" s="271" t="s">
        <v>210</v>
      </c>
      <c r="D136" s="280"/>
      <c r="E136" s="33" t="s">
        <v>333</v>
      </c>
      <c r="F136" s="35" t="s">
        <v>1394</v>
      </c>
      <c r="G136" s="35" t="s">
        <v>1393</v>
      </c>
      <c r="H136" s="35" t="s">
        <v>1392</v>
      </c>
      <c r="I136" s="35" t="s">
        <v>1391</v>
      </c>
      <c r="J136" s="35" t="s">
        <v>1390</v>
      </c>
      <c r="K136" s="35" t="s">
        <v>1297</v>
      </c>
      <c r="L136" s="34"/>
      <c r="M136" s="34"/>
      <c r="N136" s="34"/>
    </row>
    <row r="137" spans="2:14" s="4" customFormat="1" x14ac:dyDescent="0.25">
      <c r="B137" s="271"/>
      <c r="C137" s="271"/>
      <c r="D137" s="280"/>
      <c r="E137" s="33" t="s">
        <v>334</v>
      </c>
      <c r="F137" s="35" t="s">
        <v>534</v>
      </c>
      <c r="G137" s="35" t="s">
        <v>536</v>
      </c>
      <c r="H137" s="35" t="s">
        <v>537</v>
      </c>
      <c r="I137" s="35" t="s">
        <v>538</v>
      </c>
      <c r="J137" s="35" t="s">
        <v>539</v>
      </c>
      <c r="K137" s="35" t="s">
        <v>1389</v>
      </c>
      <c r="L137" s="34"/>
      <c r="M137" s="34"/>
      <c r="N137" s="34"/>
    </row>
    <row r="138" spans="2:14" s="4" customFormat="1" x14ac:dyDescent="0.25">
      <c r="B138" s="271"/>
      <c r="C138" s="271"/>
      <c r="D138" s="280"/>
      <c r="E138" s="33" t="s">
        <v>335</v>
      </c>
      <c r="F138" s="35" t="s">
        <v>535</v>
      </c>
      <c r="G138" s="35" t="s">
        <v>1395</v>
      </c>
      <c r="H138" s="35" t="s">
        <v>1396</v>
      </c>
      <c r="I138" s="35" t="s">
        <v>1397</v>
      </c>
      <c r="J138" s="35" t="s">
        <v>1398</v>
      </c>
      <c r="K138" s="35" t="s">
        <v>1399</v>
      </c>
      <c r="L138" s="34"/>
      <c r="M138" s="34"/>
      <c r="N138" s="34"/>
    </row>
    <row r="139" spans="2:14" s="4" customFormat="1" ht="72" customHeight="1" x14ac:dyDescent="0.25">
      <c r="B139" s="271" t="s">
        <v>211</v>
      </c>
      <c r="C139" s="271" t="s">
        <v>212</v>
      </c>
      <c r="D139" s="280"/>
      <c r="E139" s="33" t="s">
        <v>333</v>
      </c>
      <c r="F139" s="233" t="s">
        <v>1406</v>
      </c>
      <c r="G139" s="35" t="s">
        <v>1406</v>
      </c>
      <c r="H139" s="233" t="s">
        <v>1405</v>
      </c>
      <c r="I139" s="35" t="s">
        <v>1405</v>
      </c>
      <c r="J139" s="35" t="s">
        <v>1404</v>
      </c>
      <c r="K139" s="35" t="s">
        <v>1403</v>
      </c>
      <c r="L139" s="34"/>
      <c r="M139" s="34"/>
      <c r="N139" s="34"/>
    </row>
    <row r="140" spans="2:14" s="4" customFormat="1" x14ac:dyDescent="0.25">
      <c r="B140" s="271"/>
      <c r="C140" s="271"/>
      <c r="D140" s="280"/>
      <c r="E140" s="33" t="s">
        <v>334</v>
      </c>
      <c r="F140" s="35" t="s">
        <v>540</v>
      </c>
      <c r="G140" s="35">
        <v>0.05</v>
      </c>
      <c r="H140" s="35" t="s">
        <v>542</v>
      </c>
      <c r="I140" s="35">
        <v>0.04</v>
      </c>
      <c r="J140" s="35" t="s">
        <v>543</v>
      </c>
      <c r="K140" s="35" t="s">
        <v>1407</v>
      </c>
      <c r="L140" s="34"/>
      <c r="M140" s="34"/>
      <c r="N140" s="34"/>
    </row>
    <row r="141" spans="2:14" s="4" customFormat="1" x14ac:dyDescent="0.25">
      <c r="B141" s="271"/>
      <c r="C141" s="271"/>
      <c r="D141" s="280"/>
      <c r="E141" s="33" t="s">
        <v>335</v>
      </c>
      <c r="F141" s="35" t="s">
        <v>541</v>
      </c>
      <c r="G141" s="35" t="s">
        <v>1400</v>
      </c>
      <c r="H141" s="35" t="s">
        <v>1400</v>
      </c>
      <c r="I141" s="35" t="s">
        <v>1401</v>
      </c>
      <c r="J141" s="35" t="s">
        <v>1401</v>
      </c>
      <c r="K141" s="35" t="s">
        <v>1402</v>
      </c>
      <c r="L141" s="34"/>
      <c r="M141" s="34"/>
      <c r="N141" s="34"/>
    </row>
    <row r="142" spans="2:14" s="4" customFormat="1" ht="42" customHeight="1" x14ac:dyDescent="0.25">
      <c r="B142" s="271" t="s">
        <v>213</v>
      </c>
      <c r="C142" s="271" t="s">
        <v>214</v>
      </c>
      <c r="D142" s="280"/>
      <c r="E142" s="33" t="s">
        <v>333</v>
      </c>
      <c r="F142" s="35" t="s">
        <v>424</v>
      </c>
      <c r="G142" s="35" t="s">
        <v>1079</v>
      </c>
      <c r="H142" s="35" t="s">
        <v>1076</v>
      </c>
      <c r="I142" s="35" t="s">
        <v>1073</v>
      </c>
      <c r="J142" s="35" t="s">
        <v>1070</v>
      </c>
      <c r="K142" s="35" t="s">
        <v>1067</v>
      </c>
      <c r="L142" s="34"/>
      <c r="M142" s="34"/>
      <c r="N142" s="34"/>
    </row>
    <row r="143" spans="2:14" s="4" customFormat="1" x14ac:dyDescent="0.25">
      <c r="B143" s="271"/>
      <c r="C143" s="271"/>
      <c r="D143" s="280"/>
      <c r="E143" s="33" t="s">
        <v>334</v>
      </c>
      <c r="F143" s="35" t="s">
        <v>421</v>
      </c>
      <c r="G143" s="35" t="s">
        <v>544</v>
      </c>
      <c r="H143" s="35" t="s">
        <v>1077</v>
      </c>
      <c r="I143" s="35" t="s">
        <v>1074</v>
      </c>
      <c r="J143" s="35" t="s">
        <v>1071</v>
      </c>
      <c r="K143" s="35" t="s">
        <v>1068</v>
      </c>
      <c r="L143" s="34"/>
      <c r="M143" s="34"/>
      <c r="N143" s="34"/>
    </row>
    <row r="144" spans="2:14" s="4" customFormat="1" x14ac:dyDescent="0.25">
      <c r="B144" s="271"/>
      <c r="C144" s="271"/>
      <c r="D144" s="280"/>
      <c r="E144" s="33" t="s">
        <v>335</v>
      </c>
      <c r="F144" s="35">
        <v>0</v>
      </c>
      <c r="G144" s="35" t="s">
        <v>421</v>
      </c>
      <c r="H144" s="35" t="s">
        <v>1078</v>
      </c>
      <c r="I144" s="35" t="s">
        <v>1075</v>
      </c>
      <c r="J144" s="35" t="s">
        <v>1072</v>
      </c>
      <c r="K144" s="35" t="s">
        <v>1069</v>
      </c>
      <c r="L144" s="34"/>
      <c r="M144" s="34"/>
      <c r="N144" s="34"/>
    </row>
    <row r="145" spans="2:14" s="4" customFormat="1" ht="48" customHeight="1" x14ac:dyDescent="0.25">
      <c r="B145" s="271" t="s">
        <v>215</v>
      </c>
      <c r="C145" s="271" t="s">
        <v>216</v>
      </c>
      <c r="D145" s="280"/>
      <c r="E145" s="33" t="s">
        <v>333</v>
      </c>
      <c r="F145" s="35" t="s">
        <v>950</v>
      </c>
      <c r="G145" s="35" t="s">
        <v>1094</v>
      </c>
      <c r="H145" s="35" t="s">
        <v>1091</v>
      </c>
      <c r="I145" s="35" t="s">
        <v>1088</v>
      </c>
      <c r="J145" s="35" t="s">
        <v>1085</v>
      </c>
      <c r="K145" s="35" t="s">
        <v>1082</v>
      </c>
      <c r="L145" s="34"/>
      <c r="M145" s="34"/>
      <c r="N145" s="34"/>
    </row>
    <row r="146" spans="2:14" s="4" customFormat="1" x14ac:dyDescent="0.25">
      <c r="B146" s="271"/>
      <c r="C146" s="271"/>
      <c r="D146" s="280"/>
      <c r="E146" s="33" t="s">
        <v>334</v>
      </c>
      <c r="F146" s="35" t="s">
        <v>545</v>
      </c>
      <c r="G146" s="35" t="s">
        <v>546</v>
      </c>
      <c r="H146" s="35" t="s">
        <v>1092</v>
      </c>
      <c r="I146" s="35" t="s">
        <v>1089</v>
      </c>
      <c r="J146" s="35" t="s">
        <v>1086</v>
      </c>
      <c r="K146" s="35" t="s">
        <v>1083</v>
      </c>
      <c r="L146" s="34"/>
      <c r="M146" s="34"/>
      <c r="N146" s="34"/>
    </row>
    <row r="147" spans="2:14" s="4" customFormat="1" x14ac:dyDescent="0.25">
      <c r="B147" s="271"/>
      <c r="C147" s="271"/>
      <c r="D147" s="280"/>
      <c r="E147" s="33" t="s">
        <v>335</v>
      </c>
      <c r="F147" s="35">
        <v>0</v>
      </c>
      <c r="G147" s="35" t="s">
        <v>545</v>
      </c>
      <c r="H147" s="35" t="s">
        <v>1093</v>
      </c>
      <c r="I147" s="35" t="s">
        <v>1090</v>
      </c>
      <c r="J147" s="35" t="s">
        <v>1087</v>
      </c>
      <c r="K147" s="35" t="s">
        <v>1084</v>
      </c>
      <c r="L147" s="34"/>
      <c r="M147" s="34"/>
      <c r="N147" s="34"/>
    </row>
    <row r="148" spans="2:14" s="4" customFormat="1" ht="99.75" customHeight="1" x14ac:dyDescent="0.25">
      <c r="B148" s="271" t="s">
        <v>217</v>
      </c>
      <c r="C148" s="282" t="s">
        <v>168</v>
      </c>
      <c r="D148" s="280"/>
      <c r="E148" s="33" t="s">
        <v>333</v>
      </c>
      <c r="F148" s="34" t="s">
        <v>141</v>
      </c>
      <c r="G148" s="34" t="s">
        <v>141</v>
      </c>
      <c r="H148" s="34" t="s">
        <v>141</v>
      </c>
      <c r="I148" s="34" t="s">
        <v>141</v>
      </c>
      <c r="J148" s="34" t="s">
        <v>141</v>
      </c>
      <c r="K148" s="34" t="s">
        <v>141</v>
      </c>
      <c r="L148" s="34"/>
      <c r="M148" s="34"/>
      <c r="N148" s="34"/>
    </row>
    <row r="149" spans="2:14" s="4" customFormat="1" x14ac:dyDescent="0.25">
      <c r="B149" s="271"/>
      <c r="C149" s="282"/>
      <c r="D149" s="280"/>
      <c r="E149" s="33" t="s">
        <v>334</v>
      </c>
      <c r="F149" s="34" t="s">
        <v>141</v>
      </c>
      <c r="G149" s="34" t="s">
        <v>141</v>
      </c>
      <c r="H149" s="34" t="s">
        <v>141</v>
      </c>
      <c r="I149" s="34" t="s">
        <v>141</v>
      </c>
      <c r="J149" s="34" t="s">
        <v>141</v>
      </c>
      <c r="K149" s="34" t="s">
        <v>141</v>
      </c>
      <c r="L149" s="34"/>
      <c r="M149" s="34"/>
      <c r="N149" s="34"/>
    </row>
    <row r="150" spans="2:14" s="4" customFormat="1" x14ac:dyDescent="0.25">
      <c r="B150" s="271"/>
      <c r="C150" s="282"/>
      <c r="D150" s="280"/>
      <c r="E150" s="33" t="s">
        <v>335</v>
      </c>
      <c r="F150" s="34" t="s">
        <v>141</v>
      </c>
      <c r="G150" s="34" t="s">
        <v>141</v>
      </c>
      <c r="H150" s="34" t="s">
        <v>141</v>
      </c>
      <c r="I150" s="34" t="s">
        <v>141</v>
      </c>
      <c r="J150" s="34" t="s">
        <v>141</v>
      </c>
      <c r="K150" s="34" t="s">
        <v>141</v>
      </c>
      <c r="L150" s="34"/>
      <c r="M150" s="34"/>
      <c r="N150" s="34"/>
    </row>
    <row r="151" spans="2:14" s="4" customFormat="1" ht="63.75" customHeight="1" x14ac:dyDescent="0.25">
      <c r="B151" s="271" t="s">
        <v>218</v>
      </c>
      <c r="C151" s="271" t="s">
        <v>547</v>
      </c>
      <c r="D151" s="280"/>
      <c r="E151" s="33" t="s">
        <v>333</v>
      </c>
      <c r="F151" s="35" t="s">
        <v>1106</v>
      </c>
      <c r="G151" s="35" t="s">
        <v>1105</v>
      </c>
      <c r="H151" s="35" t="s">
        <v>896</v>
      </c>
      <c r="I151" s="35" t="s">
        <v>1103</v>
      </c>
      <c r="J151" s="35" t="s">
        <v>1100</v>
      </c>
      <c r="K151" s="35" t="s">
        <v>1097</v>
      </c>
      <c r="L151" s="34"/>
      <c r="M151" s="34"/>
      <c r="N151" s="34"/>
    </row>
    <row r="152" spans="2:14" s="4" customFormat="1" x14ac:dyDescent="0.25">
      <c r="B152" s="271"/>
      <c r="C152" s="271"/>
      <c r="D152" s="280"/>
      <c r="E152" s="33" t="s">
        <v>334</v>
      </c>
      <c r="F152" s="35" t="s">
        <v>512</v>
      </c>
      <c r="G152" s="35" t="s">
        <v>513</v>
      </c>
      <c r="H152" s="35" t="s">
        <v>549</v>
      </c>
      <c r="I152" s="35" t="s">
        <v>1104</v>
      </c>
      <c r="J152" s="35" t="s">
        <v>1101</v>
      </c>
      <c r="K152" s="35" t="s">
        <v>1098</v>
      </c>
      <c r="L152" s="34"/>
      <c r="M152" s="34"/>
      <c r="N152" s="34"/>
    </row>
    <row r="153" spans="2:14" s="4" customFormat="1" x14ac:dyDescent="0.25">
      <c r="B153" s="271"/>
      <c r="C153" s="271"/>
      <c r="D153" s="280"/>
      <c r="E153" s="33" t="s">
        <v>335</v>
      </c>
      <c r="F153" s="35">
        <v>0</v>
      </c>
      <c r="G153" s="35" t="s">
        <v>512</v>
      </c>
      <c r="H153" s="35" t="s">
        <v>548</v>
      </c>
      <c r="I153" s="35" t="s">
        <v>897</v>
      </c>
      <c r="J153" s="35" t="s">
        <v>1102</v>
      </c>
      <c r="K153" s="35" t="s">
        <v>1099</v>
      </c>
      <c r="L153" s="34"/>
      <c r="M153" s="34"/>
      <c r="N153" s="34"/>
    </row>
    <row r="154" spans="2:14" s="4" customFormat="1" ht="95.25" customHeight="1" x14ac:dyDescent="0.25">
      <c r="B154" s="271" t="s">
        <v>220</v>
      </c>
      <c r="C154" s="271" t="s">
        <v>221</v>
      </c>
      <c r="D154" s="280"/>
      <c r="E154" s="33" t="s">
        <v>333</v>
      </c>
      <c r="F154" s="35" t="s">
        <v>1105</v>
      </c>
      <c r="G154" s="35" t="s">
        <v>896</v>
      </c>
      <c r="H154" s="35" t="s">
        <v>1112</v>
      </c>
      <c r="I154" s="35" t="s">
        <v>1109</v>
      </c>
      <c r="J154" s="35" t="s">
        <v>1079</v>
      </c>
      <c r="K154" s="35" t="s">
        <v>1107</v>
      </c>
      <c r="L154" s="34"/>
      <c r="M154" s="34"/>
      <c r="N154" s="34"/>
    </row>
    <row r="155" spans="2:14" s="4" customFormat="1" x14ac:dyDescent="0.25">
      <c r="B155" s="271"/>
      <c r="C155" s="271"/>
      <c r="D155" s="280"/>
      <c r="E155" s="33" t="s">
        <v>334</v>
      </c>
      <c r="F155" s="35" t="s">
        <v>548</v>
      </c>
      <c r="G155" s="35" t="s">
        <v>549</v>
      </c>
      <c r="H155" s="35" t="s">
        <v>550</v>
      </c>
      <c r="I155" s="35" t="s">
        <v>1110</v>
      </c>
      <c r="J155" s="35" t="s">
        <v>963</v>
      </c>
      <c r="K155" s="35" t="s">
        <v>962</v>
      </c>
      <c r="L155" s="34"/>
      <c r="M155" s="34"/>
      <c r="N155" s="34"/>
    </row>
    <row r="156" spans="2:14" s="4" customFormat="1" x14ac:dyDescent="0.25">
      <c r="B156" s="271"/>
      <c r="C156" s="271"/>
      <c r="D156" s="280"/>
      <c r="E156" s="33" t="s">
        <v>335</v>
      </c>
      <c r="F156" s="35">
        <v>0</v>
      </c>
      <c r="G156" s="35" t="s">
        <v>548</v>
      </c>
      <c r="H156" s="35" t="s">
        <v>897</v>
      </c>
      <c r="I156" s="35" t="s">
        <v>1111</v>
      </c>
      <c r="J156" s="35" t="s">
        <v>1108</v>
      </c>
      <c r="K156" s="35" t="s">
        <v>1078</v>
      </c>
      <c r="L156" s="34"/>
      <c r="M156" s="34"/>
      <c r="N156" s="34"/>
    </row>
    <row r="157" spans="2:14" s="4" customFormat="1" ht="158.25" customHeight="1" x14ac:dyDescent="0.25">
      <c r="B157" s="271" t="s">
        <v>225</v>
      </c>
      <c r="C157" s="271" t="s">
        <v>226</v>
      </c>
      <c r="D157" s="280"/>
      <c r="E157" s="33" t="s">
        <v>333</v>
      </c>
      <c r="F157" s="35" t="s">
        <v>1128</v>
      </c>
      <c r="G157" s="35" t="s">
        <v>1127</v>
      </c>
      <c r="H157" s="35" t="s">
        <v>1124</v>
      </c>
      <c r="I157" s="35" t="s">
        <v>1121</v>
      </c>
      <c r="J157" s="35" t="s">
        <v>1118</v>
      </c>
      <c r="K157" s="35" t="s">
        <v>1115</v>
      </c>
      <c r="L157" s="34"/>
      <c r="M157" s="34"/>
      <c r="N157" s="34"/>
    </row>
    <row r="158" spans="2:14" s="4" customFormat="1" x14ac:dyDescent="0.25">
      <c r="B158" s="271"/>
      <c r="C158" s="271"/>
      <c r="D158" s="280"/>
      <c r="E158" s="33" t="s">
        <v>334</v>
      </c>
      <c r="F158" s="35" t="s">
        <v>551</v>
      </c>
      <c r="G158" s="35" t="s">
        <v>552</v>
      </c>
      <c r="H158" s="35" t="s">
        <v>1125</v>
      </c>
      <c r="I158" s="35" t="s">
        <v>1122</v>
      </c>
      <c r="J158" s="35" t="s">
        <v>1119</v>
      </c>
      <c r="K158" s="35" t="s">
        <v>1116</v>
      </c>
      <c r="L158" s="34"/>
      <c r="M158" s="34"/>
      <c r="N158" s="34"/>
    </row>
    <row r="159" spans="2:14" s="4" customFormat="1" x14ac:dyDescent="0.25">
      <c r="B159" s="271"/>
      <c r="C159" s="271"/>
      <c r="D159" s="280"/>
      <c r="E159" s="33" t="s">
        <v>335</v>
      </c>
      <c r="F159" s="35">
        <v>0</v>
      </c>
      <c r="G159" s="35" t="s">
        <v>551</v>
      </c>
      <c r="H159" s="35" t="s">
        <v>1126</v>
      </c>
      <c r="I159" s="35" t="s">
        <v>1123</v>
      </c>
      <c r="J159" s="35" t="s">
        <v>1120</v>
      </c>
      <c r="K159" s="35" t="s">
        <v>1117</v>
      </c>
      <c r="L159" s="34"/>
      <c r="M159" s="34"/>
      <c r="N159" s="34"/>
    </row>
    <row r="160" spans="2:14" s="4" customFormat="1" ht="63.75" customHeight="1" x14ac:dyDescent="0.25">
      <c r="B160" s="271" t="s">
        <v>227</v>
      </c>
      <c r="C160" s="271" t="s">
        <v>228</v>
      </c>
      <c r="D160" s="280"/>
      <c r="E160" s="33" t="s">
        <v>333</v>
      </c>
      <c r="F160" s="35" t="s">
        <v>1137</v>
      </c>
      <c r="G160" s="35" t="s">
        <v>1136</v>
      </c>
      <c r="H160" s="35" t="s">
        <v>1106</v>
      </c>
      <c r="I160" s="35" t="s">
        <v>1128</v>
      </c>
      <c r="J160" s="35" t="s">
        <v>1132</v>
      </c>
      <c r="K160" s="35" t="s">
        <v>1129</v>
      </c>
      <c r="L160" s="34"/>
      <c r="M160" s="34"/>
      <c r="N160" s="34"/>
    </row>
    <row r="161" spans="2:14" s="4" customFormat="1" x14ac:dyDescent="0.25">
      <c r="B161" s="271"/>
      <c r="C161" s="271"/>
      <c r="D161" s="280"/>
      <c r="E161" s="33" t="s">
        <v>334</v>
      </c>
      <c r="F161" s="35" t="s">
        <v>477</v>
      </c>
      <c r="G161" s="35" t="s">
        <v>530</v>
      </c>
      <c r="H161" s="35" t="s">
        <v>553</v>
      </c>
      <c r="I161" s="35" t="s">
        <v>1134</v>
      </c>
      <c r="J161" s="35" t="s">
        <v>1133</v>
      </c>
      <c r="K161" s="35" t="s">
        <v>1130</v>
      </c>
      <c r="L161" s="34"/>
      <c r="M161" s="34"/>
      <c r="N161" s="34"/>
    </row>
    <row r="162" spans="2:14" s="4" customFormat="1" x14ac:dyDescent="0.25">
      <c r="B162" s="271"/>
      <c r="C162" s="271"/>
      <c r="D162" s="280"/>
      <c r="E162" s="33" t="s">
        <v>335</v>
      </c>
      <c r="F162" s="35">
        <v>0</v>
      </c>
      <c r="G162" s="35" t="s">
        <v>477</v>
      </c>
      <c r="H162" s="35" t="s">
        <v>1135</v>
      </c>
      <c r="I162" s="35" t="s">
        <v>512</v>
      </c>
      <c r="J162" s="35" t="s">
        <v>551</v>
      </c>
      <c r="K162" s="35" t="s">
        <v>1131</v>
      </c>
      <c r="L162" s="34"/>
      <c r="M162" s="34"/>
      <c r="N162" s="34"/>
    </row>
    <row r="163" spans="2:14" ht="15.75" x14ac:dyDescent="0.25">
      <c r="B163" s="2" t="s">
        <v>20</v>
      </c>
      <c r="C163" s="16"/>
      <c r="D163" s="15"/>
      <c r="E163" s="22"/>
      <c r="F163" s="15"/>
      <c r="G163" s="15"/>
      <c r="H163" s="15"/>
      <c r="I163" s="15"/>
      <c r="J163" s="15"/>
      <c r="K163" s="15"/>
      <c r="L163" s="15"/>
      <c r="M163" s="15"/>
      <c r="N163" s="15"/>
    </row>
    <row r="164" spans="2:14" ht="15.75" x14ac:dyDescent="0.25">
      <c r="B164" s="2" t="s">
        <v>21</v>
      </c>
      <c r="C164" s="6"/>
      <c r="D164" s="6"/>
      <c r="E164" s="6"/>
      <c r="F164" s="6"/>
      <c r="G164" s="6"/>
      <c r="H164" s="6"/>
      <c r="I164" s="6"/>
      <c r="J164" s="6"/>
      <c r="K164" s="6"/>
      <c r="L164" s="6"/>
      <c r="M164" s="6"/>
      <c r="N164" s="6"/>
    </row>
    <row r="165" spans="2:14" x14ac:dyDescent="0.25">
      <c r="B165" s="17"/>
      <c r="C165" s="6"/>
      <c r="D165" s="6"/>
      <c r="E165" s="6"/>
      <c r="F165" s="6"/>
      <c r="G165" s="6"/>
      <c r="H165" s="6"/>
      <c r="I165" s="6"/>
      <c r="J165" s="6"/>
      <c r="K165" s="6"/>
      <c r="L165" s="6"/>
      <c r="M165" s="6"/>
      <c r="N165" s="6"/>
    </row>
    <row r="166" spans="2:14" x14ac:dyDescent="0.25">
      <c r="B166" s="17"/>
      <c r="C166" s="6"/>
      <c r="D166" s="6"/>
      <c r="E166" s="6"/>
      <c r="F166" s="6"/>
      <c r="G166" s="6"/>
      <c r="H166" s="6"/>
      <c r="I166" s="6"/>
      <c r="J166" s="6"/>
      <c r="K166" s="6"/>
      <c r="L166" s="6"/>
      <c r="M166" s="6"/>
      <c r="N166" s="6"/>
    </row>
  </sheetData>
  <mergeCells count="211">
    <mergeCell ref="B12:B14"/>
    <mergeCell ref="C12:C14"/>
    <mergeCell ref="D12:D14"/>
    <mergeCell ref="B9:B11"/>
    <mergeCell ref="C9:C11"/>
    <mergeCell ref="D9:D11"/>
    <mergeCell ref="B5:N5"/>
    <mergeCell ref="K17:K18"/>
    <mergeCell ref="B15:B18"/>
    <mergeCell ref="N17:N18"/>
    <mergeCell ref="M17:M18"/>
    <mergeCell ref="L17:L18"/>
    <mergeCell ref="E17:E18"/>
    <mergeCell ref="D15:D18"/>
    <mergeCell ref="C15:C18"/>
    <mergeCell ref="F17:F18"/>
    <mergeCell ref="G17:G18"/>
    <mergeCell ref="H17:H18"/>
    <mergeCell ref="I17:I18"/>
    <mergeCell ref="J17:J18"/>
    <mergeCell ref="N21:N22"/>
    <mergeCell ref="M21:M22"/>
    <mergeCell ref="L21:L22"/>
    <mergeCell ref="I21:I22"/>
    <mergeCell ref="J21:J22"/>
    <mergeCell ref="K21:K22"/>
    <mergeCell ref="E21:E22"/>
    <mergeCell ref="K1:N1"/>
    <mergeCell ref="K2:N2"/>
    <mergeCell ref="K3:N3"/>
    <mergeCell ref="N25:N26"/>
    <mergeCell ref="M25:M26"/>
    <mergeCell ref="L25:L26"/>
    <mergeCell ref="B23:B26"/>
    <mergeCell ref="C23:C26"/>
    <mergeCell ref="D23:D26"/>
    <mergeCell ref="E25:E26"/>
    <mergeCell ref="G25:G26"/>
    <mergeCell ref="H25:H26"/>
    <mergeCell ref="I25:I26"/>
    <mergeCell ref="J25:J26"/>
    <mergeCell ref="K25:K26"/>
    <mergeCell ref="F25:F26"/>
    <mergeCell ref="N30:N32"/>
    <mergeCell ref="M30:M32"/>
    <mergeCell ref="L30:L32"/>
    <mergeCell ref="D27:D32"/>
    <mergeCell ref="C27:C32"/>
    <mergeCell ref="N28:N29"/>
    <mergeCell ref="M28:M29"/>
    <mergeCell ref="L28:L29"/>
    <mergeCell ref="E28:E29"/>
    <mergeCell ref="K28:K29"/>
    <mergeCell ref="E30:E32"/>
    <mergeCell ref="F30:F32"/>
    <mergeCell ref="I30:I32"/>
    <mergeCell ref="D19:D22"/>
    <mergeCell ref="F21:F22"/>
    <mergeCell ref="B27:B32"/>
    <mergeCell ref="G30:G32"/>
    <mergeCell ref="H30:H32"/>
    <mergeCell ref="J30:J32"/>
    <mergeCell ref="K30:K32"/>
    <mergeCell ref="J28:J29"/>
    <mergeCell ref="I28:I29"/>
    <mergeCell ref="H28:H29"/>
    <mergeCell ref="G28:G29"/>
    <mergeCell ref="F28:F29"/>
    <mergeCell ref="G21:G22"/>
    <mergeCell ref="H21:H22"/>
    <mergeCell ref="C19:C22"/>
    <mergeCell ref="B19:B22"/>
    <mergeCell ref="N35:N36"/>
    <mergeCell ref="M35:M36"/>
    <mergeCell ref="L35:L36"/>
    <mergeCell ref="E35:E36"/>
    <mergeCell ref="F35:F36"/>
    <mergeCell ref="G35:G36"/>
    <mergeCell ref="D43:D45"/>
    <mergeCell ref="C43:C45"/>
    <mergeCell ref="B43:B45"/>
    <mergeCell ref="D33:D36"/>
    <mergeCell ref="C33:C36"/>
    <mergeCell ref="B33:B36"/>
    <mergeCell ref="H35:H36"/>
    <mergeCell ref="I35:I36"/>
    <mergeCell ref="J35:J36"/>
    <mergeCell ref="K35:K36"/>
    <mergeCell ref="B46:B48"/>
    <mergeCell ref="C46:C48"/>
    <mergeCell ref="D46:D48"/>
    <mergeCell ref="B37:B39"/>
    <mergeCell ref="C37:C39"/>
    <mergeCell ref="D37:D39"/>
    <mergeCell ref="D40:D42"/>
    <mergeCell ref="C40:C42"/>
    <mergeCell ref="B40:B42"/>
    <mergeCell ref="D49:D51"/>
    <mergeCell ref="C49:C51"/>
    <mergeCell ref="B49:B51"/>
    <mergeCell ref="D55:D57"/>
    <mergeCell ref="C55:C57"/>
    <mergeCell ref="B55:B57"/>
    <mergeCell ref="D52:D54"/>
    <mergeCell ref="C52:C54"/>
    <mergeCell ref="B52:B54"/>
    <mergeCell ref="B61:B63"/>
    <mergeCell ref="C61:C63"/>
    <mergeCell ref="D61:D63"/>
    <mergeCell ref="D58:D60"/>
    <mergeCell ref="C58:C60"/>
    <mergeCell ref="B58:B60"/>
    <mergeCell ref="B67:B69"/>
    <mergeCell ref="C67:C69"/>
    <mergeCell ref="D67:D69"/>
    <mergeCell ref="D64:D66"/>
    <mergeCell ref="C64:C66"/>
    <mergeCell ref="B64:B66"/>
    <mergeCell ref="B88:B90"/>
    <mergeCell ref="C88:C90"/>
    <mergeCell ref="D88:D90"/>
    <mergeCell ref="B100:B102"/>
    <mergeCell ref="C100:C102"/>
    <mergeCell ref="D100:D102"/>
    <mergeCell ref="D70:D72"/>
    <mergeCell ref="C70:C72"/>
    <mergeCell ref="B70:B72"/>
    <mergeCell ref="D85:D87"/>
    <mergeCell ref="C85:C87"/>
    <mergeCell ref="B85:B87"/>
    <mergeCell ref="B82:B84"/>
    <mergeCell ref="C82:C84"/>
    <mergeCell ref="D82:D84"/>
    <mergeCell ref="D79:D81"/>
    <mergeCell ref="C79:C81"/>
    <mergeCell ref="B79:B81"/>
    <mergeCell ref="D76:D78"/>
    <mergeCell ref="C76:C78"/>
    <mergeCell ref="B76:B78"/>
    <mergeCell ref="B73:B75"/>
    <mergeCell ref="C73:C75"/>
    <mergeCell ref="D73:D75"/>
    <mergeCell ref="B97:B99"/>
    <mergeCell ref="C97:C99"/>
    <mergeCell ref="D97:D99"/>
    <mergeCell ref="D94:D96"/>
    <mergeCell ref="C94:C96"/>
    <mergeCell ref="B94:B96"/>
    <mergeCell ref="D91:D93"/>
    <mergeCell ref="C91:C93"/>
    <mergeCell ref="B91:B93"/>
    <mergeCell ref="D127:D129"/>
    <mergeCell ref="C127:C129"/>
    <mergeCell ref="B127:B129"/>
    <mergeCell ref="B124:B126"/>
    <mergeCell ref="C124:C126"/>
    <mergeCell ref="D124:D126"/>
    <mergeCell ref="D121:D123"/>
    <mergeCell ref="C121:C123"/>
    <mergeCell ref="B121:B123"/>
    <mergeCell ref="B118:B120"/>
    <mergeCell ref="C118:C120"/>
    <mergeCell ref="D118:D120"/>
    <mergeCell ref="D115:D117"/>
    <mergeCell ref="B106:B108"/>
    <mergeCell ref="C106:C108"/>
    <mergeCell ref="D106:D108"/>
    <mergeCell ref="D103:D105"/>
    <mergeCell ref="C103:C105"/>
    <mergeCell ref="B103:B105"/>
    <mergeCell ref="B112:B114"/>
    <mergeCell ref="C112:C114"/>
    <mergeCell ref="C115:C117"/>
    <mergeCell ref="B115:B117"/>
    <mergeCell ref="D112:D114"/>
    <mergeCell ref="D109:D111"/>
    <mergeCell ref="C109:C111"/>
    <mergeCell ref="B109:B111"/>
    <mergeCell ref="B133:B135"/>
    <mergeCell ref="C133:C135"/>
    <mergeCell ref="D133:D135"/>
    <mergeCell ref="D130:D132"/>
    <mergeCell ref="C130:C132"/>
    <mergeCell ref="D151:D153"/>
    <mergeCell ref="C151:C153"/>
    <mergeCell ref="B151:B153"/>
    <mergeCell ref="B130:B132"/>
    <mergeCell ref="B148:B150"/>
    <mergeCell ref="C148:C150"/>
    <mergeCell ref="D148:D150"/>
    <mergeCell ref="D145:D147"/>
    <mergeCell ref="C145:C147"/>
    <mergeCell ref="B145:B147"/>
    <mergeCell ref="D142:D144"/>
    <mergeCell ref="C142:C144"/>
    <mergeCell ref="B142:B144"/>
    <mergeCell ref="B139:B141"/>
    <mergeCell ref="C139:C141"/>
    <mergeCell ref="D139:D141"/>
    <mergeCell ref="D136:D138"/>
    <mergeCell ref="C136:C138"/>
    <mergeCell ref="B136:B138"/>
    <mergeCell ref="D160:D162"/>
    <mergeCell ref="C160:C162"/>
    <mergeCell ref="B160:B162"/>
    <mergeCell ref="B157:B159"/>
    <mergeCell ref="C157:C159"/>
    <mergeCell ref="D157:D159"/>
    <mergeCell ref="B154:B156"/>
    <mergeCell ref="C154:C156"/>
    <mergeCell ref="D154:D156"/>
  </mergeCells>
  <pageMargins left="0.7" right="0.7" top="0.75" bottom="0.75" header="0.3" footer="0.3"/>
  <pageSetup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6"/>
  <sheetViews>
    <sheetView zoomScale="85" zoomScaleNormal="85" workbookViewId="0">
      <selection activeCell="C132" sqref="C132"/>
    </sheetView>
  </sheetViews>
  <sheetFormatPr defaultRowHeight="15" x14ac:dyDescent="0.25"/>
  <cols>
    <col min="2" max="2" width="46.5703125" customWidth="1"/>
    <col min="3" max="5" width="6" customWidth="1"/>
    <col min="8" max="10" width="11.7109375" bestFit="1" customWidth="1"/>
    <col min="11" max="13" width="10.28515625" bestFit="1" customWidth="1"/>
  </cols>
  <sheetData>
    <row r="1" spans="1:13" ht="15.75" x14ac:dyDescent="0.25">
      <c r="J1" s="284" t="s">
        <v>52</v>
      </c>
      <c r="K1" s="284"/>
      <c r="L1" s="284"/>
      <c r="M1" s="284"/>
    </row>
    <row r="2" spans="1:13" ht="15.75" x14ac:dyDescent="0.25">
      <c r="J2" s="285" t="s">
        <v>0</v>
      </c>
      <c r="K2" s="285"/>
      <c r="L2" s="285"/>
      <c r="M2" s="285"/>
    </row>
    <row r="3" spans="1:13" s="4" customFormat="1" ht="15.75" x14ac:dyDescent="0.25">
      <c r="J3" s="285" t="s">
        <v>16</v>
      </c>
      <c r="K3" s="285"/>
      <c r="L3" s="285"/>
      <c r="M3" s="285"/>
    </row>
    <row r="5" spans="1:13" ht="15.75" x14ac:dyDescent="0.25">
      <c r="A5" s="12"/>
      <c r="B5" s="6"/>
      <c r="C5" s="6"/>
      <c r="D5" s="6"/>
      <c r="E5" s="6"/>
      <c r="F5" s="6"/>
      <c r="G5" s="6"/>
      <c r="H5" s="6"/>
      <c r="I5" s="6"/>
      <c r="J5" s="6"/>
      <c r="K5" s="6"/>
      <c r="L5" s="6"/>
      <c r="M5" s="6"/>
    </row>
    <row r="6" spans="1:13" ht="15.75" x14ac:dyDescent="0.25">
      <c r="A6" s="294" t="s">
        <v>22</v>
      </c>
      <c r="B6" s="294"/>
      <c r="C6" s="294"/>
      <c r="D6" s="294"/>
      <c r="E6" s="294"/>
      <c r="F6" s="294"/>
      <c r="G6" s="294"/>
      <c r="H6" s="294"/>
      <c r="I6" s="294"/>
      <c r="J6" s="294"/>
      <c r="K6" s="295"/>
      <c r="L6" s="295"/>
      <c r="M6" s="295"/>
    </row>
    <row r="7" spans="1:13" s="4" customFormat="1" ht="15.75" x14ac:dyDescent="0.25">
      <c r="A7" s="11"/>
      <c r="B7" s="11"/>
      <c r="C7" s="11"/>
      <c r="D7" s="11"/>
      <c r="E7" s="11"/>
      <c r="F7" s="11"/>
      <c r="G7" s="11"/>
      <c r="H7" s="11"/>
      <c r="I7" s="11"/>
      <c r="J7" s="11"/>
      <c r="K7" s="10"/>
      <c r="L7" s="10"/>
      <c r="M7" s="10"/>
    </row>
    <row r="8" spans="1:13" x14ac:dyDescent="0.25">
      <c r="A8" s="29" t="s">
        <v>23</v>
      </c>
      <c r="B8" s="65"/>
      <c r="C8" s="65"/>
      <c r="D8" s="65"/>
      <c r="E8" s="65"/>
      <c r="F8" s="65"/>
      <c r="G8" s="65"/>
      <c r="H8" s="65"/>
      <c r="I8" s="65"/>
      <c r="J8" s="65"/>
      <c r="K8" s="65"/>
      <c r="L8" s="65"/>
      <c r="M8" s="65"/>
    </row>
    <row r="9" spans="1:13" x14ac:dyDescent="0.25">
      <c r="A9" s="66" t="s">
        <v>1</v>
      </c>
      <c r="B9" s="67" t="s">
        <v>19</v>
      </c>
      <c r="C9" s="66" t="s">
        <v>2</v>
      </c>
      <c r="D9" s="66">
        <v>2014</v>
      </c>
      <c r="E9" s="66">
        <v>2015</v>
      </c>
      <c r="F9" s="66">
        <v>2016</v>
      </c>
      <c r="G9" s="66">
        <v>2017</v>
      </c>
      <c r="H9" s="66">
        <v>2018</v>
      </c>
      <c r="I9" s="66">
        <v>2019</v>
      </c>
      <c r="J9" s="66">
        <v>2020</v>
      </c>
      <c r="K9" s="66">
        <v>2021</v>
      </c>
      <c r="L9" s="66">
        <v>2022</v>
      </c>
      <c r="M9" s="66">
        <v>2023</v>
      </c>
    </row>
    <row r="10" spans="1:13" ht="63" customHeight="1" x14ac:dyDescent="0.25">
      <c r="A10" s="38" t="s">
        <v>865</v>
      </c>
      <c r="B10" s="38" t="s">
        <v>554</v>
      </c>
      <c r="C10" s="37"/>
      <c r="D10" s="37"/>
      <c r="E10" s="37"/>
      <c r="F10" s="37"/>
      <c r="G10" s="37"/>
      <c r="H10" s="37">
        <v>1</v>
      </c>
      <c r="I10" s="37"/>
      <c r="J10" s="37">
        <v>4</v>
      </c>
      <c r="K10" s="37"/>
      <c r="L10" s="37"/>
      <c r="M10" s="37"/>
    </row>
    <row r="11" spans="1:13" ht="26.25" customHeight="1" x14ac:dyDescent="0.25">
      <c r="A11" s="39" t="s">
        <v>866</v>
      </c>
      <c r="B11" s="39" t="s">
        <v>692</v>
      </c>
      <c r="C11" s="37"/>
      <c r="D11" s="33"/>
      <c r="E11" s="33"/>
      <c r="F11" s="33"/>
      <c r="G11" s="33"/>
      <c r="H11" s="33">
        <v>55</v>
      </c>
      <c r="I11" s="33">
        <v>19</v>
      </c>
      <c r="J11" s="33">
        <v>17</v>
      </c>
      <c r="K11" s="37"/>
      <c r="L11" s="37"/>
      <c r="M11" s="37"/>
    </row>
    <row r="12" spans="1:13" ht="26.25" customHeight="1" x14ac:dyDescent="0.25">
      <c r="A12" s="39" t="s">
        <v>867</v>
      </c>
      <c r="B12" s="39" t="s">
        <v>691</v>
      </c>
      <c r="C12" s="37"/>
      <c r="D12" s="33"/>
      <c r="E12" s="33"/>
      <c r="F12" s="33"/>
      <c r="G12" s="33"/>
      <c r="H12" s="33">
        <v>15273</v>
      </c>
      <c r="I12" s="33">
        <v>7641</v>
      </c>
      <c r="J12" s="33">
        <v>7313</v>
      </c>
      <c r="K12" s="37"/>
      <c r="L12" s="37"/>
      <c r="M12" s="37"/>
    </row>
    <row r="13" spans="1:13" ht="28.5" customHeight="1" x14ac:dyDescent="0.25">
      <c r="A13" s="39" t="s">
        <v>868</v>
      </c>
      <c r="B13" s="39" t="s">
        <v>690</v>
      </c>
      <c r="C13" s="37"/>
      <c r="D13" s="33"/>
      <c r="E13" s="33"/>
      <c r="F13" s="33"/>
      <c r="G13" s="33"/>
      <c r="H13" s="33">
        <v>37</v>
      </c>
      <c r="I13" s="68">
        <v>13</v>
      </c>
      <c r="J13" s="68">
        <v>17</v>
      </c>
      <c r="K13" s="37"/>
      <c r="L13" s="37"/>
      <c r="M13" s="37"/>
    </row>
    <row r="14" spans="1:13" ht="41.25" customHeight="1" x14ac:dyDescent="0.25">
      <c r="A14" s="38" t="s">
        <v>555</v>
      </c>
      <c r="B14" s="38" t="s">
        <v>556</v>
      </c>
      <c r="C14" s="37"/>
      <c r="D14" s="33"/>
      <c r="E14" s="33"/>
      <c r="F14" s="33"/>
      <c r="G14" s="33"/>
      <c r="H14" s="33"/>
      <c r="I14" s="33">
        <v>66297</v>
      </c>
      <c r="J14" s="33">
        <v>350</v>
      </c>
      <c r="K14" s="37"/>
      <c r="L14" s="37"/>
      <c r="M14" s="37"/>
    </row>
    <row r="15" spans="1:13" ht="15.75" customHeight="1" x14ac:dyDescent="0.25">
      <c r="A15" s="38" t="s">
        <v>557</v>
      </c>
      <c r="B15" s="38" t="s">
        <v>558</v>
      </c>
      <c r="C15" s="37"/>
      <c r="D15" s="33"/>
      <c r="E15" s="33"/>
      <c r="F15" s="33"/>
      <c r="G15" s="33">
        <v>2.903</v>
      </c>
      <c r="H15" s="33">
        <v>1.01</v>
      </c>
      <c r="I15" s="33">
        <v>2.1585000000000001</v>
      </c>
      <c r="J15" s="33">
        <v>18.814</v>
      </c>
      <c r="K15" s="37">
        <v>2.9</v>
      </c>
      <c r="L15" s="37"/>
      <c r="M15" s="37">
        <v>2</v>
      </c>
    </row>
    <row r="16" spans="1:13" ht="24.75" customHeight="1" x14ac:dyDescent="0.25">
      <c r="A16" s="43" t="s">
        <v>648</v>
      </c>
      <c r="B16" s="42" t="s">
        <v>649</v>
      </c>
      <c r="C16" s="37"/>
      <c r="D16" s="33"/>
      <c r="E16" s="33"/>
      <c r="F16" s="33"/>
      <c r="G16" s="33"/>
      <c r="H16" s="33"/>
      <c r="I16" s="69"/>
      <c r="J16" s="33"/>
      <c r="K16" s="37"/>
      <c r="L16" s="37"/>
      <c r="M16" s="37"/>
    </row>
    <row r="17" spans="1:13" ht="21" customHeight="1" x14ac:dyDescent="0.25">
      <c r="A17" s="42" t="s">
        <v>676</v>
      </c>
      <c r="B17" s="42" t="s">
        <v>677</v>
      </c>
      <c r="C17" s="37"/>
      <c r="D17" s="33"/>
      <c r="E17" s="33"/>
      <c r="F17" s="33"/>
      <c r="G17" s="33"/>
      <c r="H17" s="33">
        <v>0.56259999999999999</v>
      </c>
      <c r="I17" s="33"/>
      <c r="J17" s="33"/>
      <c r="K17" s="37"/>
      <c r="L17" s="37"/>
      <c r="M17" s="37"/>
    </row>
    <row r="18" spans="1:13" ht="25.5" customHeight="1" x14ac:dyDescent="0.25">
      <c r="A18" s="43" t="s">
        <v>652</v>
      </c>
      <c r="B18" s="42" t="s">
        <v>653</v>
      </c>
      <c r="C18" s="37"/>
      <c r="D18" s="33"/>
      <c r="E18" s="33"/>
      <c r="F18" s="33"/>
      <c r="G18" s="33"/>
      <c r="H18" s="33"/>
      <c r="I18" s="33"/>
      <c r="J18" s="33"/>
      <c r="K18" s="37"/>
      <c r="L18" s="37"/>
      <c r="M18" s="37"/>
    </row>
    <row r="19" spans="1:13" ht="28.5" customHeight="1" x14ac:dyDescent="0.25">
      <c r="A19" s="42" t="s">
        <v>656</v>
      </c>
      <c r="B19" s="42" t="s">
        <v>657</v>
      </c>
      <c r="C19" s="37"/>
      <c r="D19" s="37"/>
      <c r="E19" s="37"/>
      <c r="F19" s="37"/>
      <c r="G19" s="37"/>
      <c r="H19" s="37"/>
      <c r="I19" s="70"/>
      <c r="J19" s="37"/>
      <c r="K19" s="37"/>
      <c r="L19" s="37"/>
      <c r="M19" s="37"/>
    </row>
    <row r="20" spans="1:13" s="4" customFormat="1" ht="26.25" customHeight="1" x14ac:dyDescent="0.25">
      <c r="A20" s="39" t="s">
        <v>640</v>
      </c>
      <c r="B20" s="42" t="s">
        <v>641</v>
      </c>
      <c r="C20" s="37"/>
      <c r="D20" s="37"/>
      <c r="E20" s="37"/>
      <c r="F20" s="37"/>
      <c r="G20" s="37"/>
      <c r="H20" s="37"/>
      <c r="I20" s="37"/>
      <c r="J20" s="37"/>
      <c r="K20" s="37"/>
      <c r="L20" s="37"/>
      <c r="M20" s="37"/>
    </row>
    <row r="21" spans="1:13" s="4" customFormat="1" ht="29.25" customHeight="1" x14ac:dyDescent="0.25">
      <c r="A21" s="43" t="s">
        <v>654</v>
      </c>
      <c r="B21" s="42" t="s">
        <v>655</v>
      </c>
      <c r="C21" s="37"/>
      <c r="D21" s="37"/>
      <c r="E21" s="37"/>
      <c r="F21" s="37"/>
      <c r="G21" s="37"/>
      <c r="H21" s="37">
        <v>1623</v>
      </c>
      <c r="I21" s="37">
        <v>2788</v>
      </c>
      <c r="J21" s="37">
        <v>8226</v>
      </c>
      <c r="K21" s="37">
        <v>250</v>
      </c>
      <c r="L21" s="37"/>
      <c r="M21" s="37"/>
    </row>
    <row r="22" spans="1:13" s="4" customFormat="1" ht="26.25" customHeight="1" x14ac:dyDescent="0.25">
      <c r="A22" s="38" t="s">
        <v>559</v>
      </c>
      <c r="B22" s="38" t="s">
        <v>560</v>
      </c>
      <c r="C22" s="37"/>
      <c r="D22" s="37"/>
      <c r="E22" s="37"/>
      <c r="F22" s="37"/>
      <c r="G22" s="37"/>
      <c r="H22" s="37"/>
      <c r="I22" s="37">
        <v>91065</v>
      </c>
      <c r="J22" s="37"/>
      <c r="K22" s="37"/>
      <c r="L22" s="37">
        <v>5000</v>
      </c>
      <c r="M22" s="37"/>
    </row>
    <row r="23" spans="1:13" s="4" customFormat="1" ht="18.75" customHeight="1" x14ac:dyDescent="0.25">
      <c r="A23" s="38" t="s">
        <v>561</v>
      </c>
      <c r="B23" s="38" t="s">
        <v>562</v>
      </c>
      <c r="C23" s="37"/>
      <c r="D23" s="37"/>
      <c r="E23" s="37"/>
      <c r="F23" s="37"/>
      <c r="G23" s="37">
        <v>15858</v>
      </c>
      <c r="H23" s="37">
        <v>197114.63</v>
      </c>
      <c r="I23" s="232">
        <v>658444</v>
      </c>
      <c r="J23" s="232">
        <v>1020884.6</v>
      </c>
      <c r="K23" s="37">
        <v>105000</v>
      </c>
      <c r="L23" s="37"/>
      <c r="M23" s="37">
        <v>69121</v>
      </c>
    </row>
    <row r="24" spans="1:13" s="4" customFormat="1" ht="30.75" customHeight="1" x14ac:dyDescent="0.25">
      <c r="A24" s="38" t="s">
        <v>563</v>
      </c>
      <c r="B24" s="38" t="s">
        <v>564</v>
      </c>
      <c r="C24" s="37"/>
      <c r="D24" s="37"/>
      <c r="E24" s="37">
        <v>3073</v>
      </c>
      <c r="F24" s="37"/>
      <c r="G24" s="37"/>
      <c r="H24" s="37"/>
      <c r="I24" s="37">
        <v>14220.02</v>
      </c>
      <c r="J24" s="37">
        <v>222</v>
      </c>
      <c r="K24" s="37">
        <v>646</v>
      </c>
      <c r="L24" s="37"/>
      <c r="M24" s="37">
        <v>510</v>
      </c>
    </row>
    <row r="25" spans="1:13" s="4" customFormat="1" ht="30.75" customHeight="1" x14ac:dyDescent="0.25">
      <c r="A25" s="38" t="s">
        <v>565</v>
      </c>
      <c r="B25" s="38" t="s">
        <v>566</v>
      </c>
      <c r="C25" s="37"/>
      <c r="D25" s="37"/>
      <c r="E25" s="37"/>
      <c r="F25" s="37"/>
      <c r="G25" s="37"/>
      <c r="H25" s="37"/>
      <c r="I25" s="37"/>
      <c r="J25" s="37"/>
      <c r="K25" s="37"/>
      <c r="L25" s="37"/>
      <c r="M25" s="37"/>
    </row>
    <row r="26" spans="1:13" s="4" customFormat="1" ht="30" customHeight="1" x14ac:dyDescent="0.25">
      <c r="A26" s="39" t="s">
        <v>670</v>
      </c>
      <c r="B26" s="39" t="s">
        <v>671</v>
      </c>
      <c r="C26" s="37"/>
      <c r="D26" s="37"/>
      <c r="E26" s="37"/>
      <c r="F26" s="37"/>
      <c r="G26" s="37"/>
      <c r="H26" s="37"/>
      <c r="I26" s="37">
        <v>100</v>
      </c>
      <c r="J26" s="37"/>
      <c r="K26" s="37"/>
      <c r="L26" s="37"/>
      <c r="M26" s="37"/>
    </row>
    <row r="27" spans="1:13" s="4" customFormat="1" ht="42" customHeight="1" x14ac:dyDescent="0.25">
      <c r="A27" s="38" t="s">
        <v>567</v>
      </c>
      <c r="B27" s="38" t="s">
        <v>568</v>
      </c>
      <c r="C27" s="37"/>
      <c r="D27" s="37"/>
      <c r="E27" s="37"/>
      <c r="F27" s="37">
        <v>725</v>
      </c>
      <c r="G27" s="37">
        <v>131</v>
      </c>
      <c r="H27" s="37"/>
      <c r="I27" s="37">
        <v>2833</v>
      </c>
      <c r="J27" s="37">
        <v>1588</v>
      </c>
      <c r="K27" s="37">
        <v>323</v>
      </c>
      <c r="L27" s="37"/>
      <c r="M27" s="37"/>
    </row>
    <row r="28" spans="1:13" s="4" customFormat="1" ht="39" customHeight="1" x14ac:dyDescent="0.25">
      <c r="A28" s="38" t="s">
        <v>569</v>
      </c>
      <c r="B28" s="38" t="s">
        <v>570</v>
      </c>
      <c r="C28" s="37"/>
      <c r="D28" s="37"/>
      <c r="E28" s="37"/>
      <c r="F28" s="37"/>
      <c r="G28" s="37"/>
      <c r="H28" s="37"/>
      <c r="I28" s="37">
        <v>4770</v>
      </c>
      <c r="J28" s="37"/>
      <c r="K28" s="37">
        <v>7852</v>
      </c>
      <c r="L28" s="37"/>
      <c r="M28" s="37"/>
    </row>
    <row r="29" spans="1:13" s="4" customFormat="1" ht="28.5" customHeight="1" x14ac:dyDescent="0.25">
      <c r="A29" s="38" t="s">
        <v>571</v>
      </c>
      <c r="B29" s="38" t="s">
        <v>572</v>
      </c>
      <c r="C29" s="37"/>
      <c r="D29" s="37"/>
      <c r="E29" s="37"/>
      <c r="F29" s="37">
        <v>1012</v>
      </c>
      <c r="G29" s="37">
        <v>478</v>
      </c>
      <c r="H29" s="37"/>
      <c r="I29" s="37">
        <v>5056</v>
      </c>
      <c r="J29" s="37">
        <v>2048</v>
      </c>
      <c r="K29" s="37">
        <v>416</v>
      </c>
      <c r="L29" s="37"/>
      <c r="M29" s="37"/>
    </row>
    <row r="30" spans="1:13" s="4" customFormat="1" ht="40.5" customHeight="1" x14ac:dyDescent="0.25">
      <c r="A30" s="38" t="s">
        <v>573</v>
      </c>
      <c r="B30" s="38" t="s">
        <v>574</v>
      </c>
      <c r="C30" s="37"/>
      <c r="D30" s="37"/>
      <c r="E30" s="37"/>
      <c r="F30" s="37"/>
      <c r="G30" s="37"/>
      <c r="H30" s="37"/>
      <c r="I30" s="37">
        <v>308999</v>
      </c>
      <c r="J30" s="37">
        <v>4361</v>
      </c>
      <c r="K30" s="37">
        <v>3600</v>
      </c>
      <c r="L30" s="37"/>
      <c r="M30" s="37"/>
    </row>
    <row r="31" spans="1:13" s="4" customFormat="1" ht="26.25" customHeight="1" x14ac:dyDescent="0.25">
      <c r="A31" s="38" t="s">
        <v>575</v>
      </c>
      <c r="B31" s="38" t="s">
        <v>576</v>
      </c>
      <c r="C31" s="37"/>
      <c r="D31" s="37"/>
      <c r="E31" s="37"/>
      <c r="F31" s="37"/>
      <c r="G31" s="37"/>
      <c r="H31" s="37"/>
      <c r="I31" s="37"/>
      <c r="J31" s="37"/>
      <c r="K31" s="37"/>
      <c r="L31" s="37"/>
      <c r="M31" s="37"/>
    </row>
    <row r="32" spans="1:13" s="4" customFormat="1" ht="13.5" customHeight="1" x14ac:dyDescent="0.25">
      <c r="A32" s="38" t="s">
        <v>869</v>
      </c>
      <c r="B32" s="38" t="s">
        <v>870</v>
      </c>
      <c r="C32" s="37"/>
      <c r="D32" s="37"/>
      <c r="E32" s="37"/>
      <c r="F32" s="37"/>
      <c r="G32" s="37"/>
      <c r="H32" s="37"/>
      <c r="I32" s="37">
        <v>5</v>
      </c>
      <c r="J32" s="37"/>
      <c r="K32" s="37"/>
      <c r="L32" s="37"/>
      <c r="M32" s="37"/>
    </row>
    <row r="33" spans="1:13" s="4" customFormat="1" ht="45" customHeight="1" x14ac:dyDescent="0.25">
      <c r="A33" s="38" t="s">
        <v>577</v>
      </c>
      <c r="B33" s="38" t="s">
        <v>578</v>
      </c>
      <c r="C33" s="37"/>
      <c r="D33" s="37"/>
      <c r="E33" s="37"/>
      <c r="F33" s="37"/>
      <c r="G33" s="37"/>
      <c r="H33" s="37">
        <v>1</v>
      </c>
      <c r="I33" s="37">
        <v>5</v>
      </c>
      <c r="J33" s="37"/>
      <c r="K33" s="37"/>
      <c r="L33" s="37"/>
      <c r="M33" s="37"/>
    </row>
    <row r="34" spans="1:13" s="4" customFormat="1" ht="30.75" customHeight="1" x14ac:dyDescent="0.25">
      <c r="A34" s="38" t="s">
        <v>579</v>
      </c>
      <c r="B34" s="38" t="s">
        <v>580</v>
      </c>
      <c r="C34" s="37"/>
      <c r="D34" s="37"/>
      <c r="E34" s="37"/>
      <c r="F34" s="37"/>
      <c r="G34" s="71"/>
      <c r="H34" s="37">
        <v>65</v>
      </c>
      <c r="I34" s="37"/>
      <c r="J34" s="37"/>
      <c r="K34" s="37"/>
      <c r="L34" s="37"/>
      <c r="M34" s="37"/>
    </row>
    <row r="35" spans="1:13" s="4" customFormat="1" ht="18.75" customHeight="1" x14ac:dyDescent="0.25">
      <c r="A35" s="42" t="s">
        <v>680</v>
      </c>
      <c r="B35" s="42" t="s">
        <v>681</v>
      </c>
      <c r="C35" s="37"/>
      <c r="D35" s="37"/>
      <c r="E35" s="37"/>
      <c r="F35" s="37"/>
      <c r="G35" s="37"/>
      <c r="H35" s="37"/>
      <c r="I35" s="37"/>
      <c r="J35" s="37">
        <v>2</v>
      </c>
      <c r="K35" s="37"/>
      <c r="L35" s="37"/>
      <c r="M35" s="37"/>
    </row>
    <row r="36" spans="1:13" s="4" customFormat="1" ht="30" customHeight="1" x14ac:dyDescent="0.25">
      <c r="A36" s="42" t="s">
        <v>678</v>
      </c>
      <c r="B36" s="42" t="s">
        <v>679</v>
      </c>
      <c r="C36" s="37"/>
      <c r="D36" s="37"/>
      <c r="E36" s="37"/>
      <c r="F36" s="37"/>
      <c r="G36" s="37"/>
      <c r="H36" s="37">
        <v>4</v>
      </c>
      <c r="I36" s="37"/>
      <c r="J36" s="37"/>
      <c r="K36" s="37"/>
      <c r="L36" s="37"/>
      <c r="M36" s="37"/>
    </row>
    <row r="37" spans="1:13" s="4" customFormat="1" ht="18.75" customHeight="1" x14ac:dyDescent="0.25">
      <c r="A37" s="39" t="s">
        <v>672</v>
      </c>
      <c r="B37" s="39" t="s">
        <v>673</v>
      </c>
      <c r="C37" s="37"/>
      <c r="D37" s="37"/>
      <c r="E37" s="37"/>
      <c r="F37" s="37"/>
      <c r="G37" s="37"/>
      <c r="H37" s="37">
        <v>1</v>
      </c>
      <c r="I37" s="37"/>
      <c r="J37" s="37"/>
      <c r="K37" s="37"/>
      <c r="L37" s="37"/>
      <c r="M37" s="37"/>
    </row>
    <row r="38" spans="1:13" s="4" customFormat="1" ht="29.25" customHeight="1" x14ac:dyDescent="0.25">
      <c r="A38" s="39" t="s">
        <v>674</v>
      </c>
      <c r="B38" s="39" t="s">
        <v>675</v>
      </c>
      <c r="C38" s="37"/>
      <c r="D38" s="37"/>
      <c r="E38" s="37"/>
      <c r="F38" s="37"/>
      <c r="G38" s="37"/>
      <c r="H38" s="37">
        <v>1</v>
      </c>
      <c r="I38" s="37"/>
      <c r="J38" s="37"/>
      <c r="K38" s="37"/>
      <c r="L38" s="37"/>
      <c r="M38" s="37"/>
    </row>
    <row r="39" spans="1:13" s="4" customFormat="1" ht="18" customHeight="1" x14ac:dyDescent="0.25">
      <c r="A39" s="38" t="s">
        <v>581</v>
      </c>
      <c r="B39" s="38" t="s">
        <v>582</v>
      </c>
      <c r="C39" s="37"/>
      <c r="D39" s="37"/>
      <c r="E39" s="37"/>
      <c r="F39" s="37"/>
      <c r="G39" s="37">
        <v>2</v>
      </c>
      <c r="H39" s="37">
        <v>5</v>
      </c>
      <c r="I39" s="37">
        <v>4</v>
      </c>
      <c r="J39" s="37">
        <v>4</v>
      </c>
      <c r="K39" s="37"/>
      <c r="L39" s="37"/>
      <c r="M39" s="37"/>
    </row>
    <row r="40" spans="1:13" s="4" customFormat="1" ht="12.75" customHeight="1" x14ac:dyDescent="0.25">
      <c r="A40" s="38" t="s">
        <v>871</v>
      </c>
      <c r="B40" s="38" t="s">
        <v>872</v>
      </c>
      <c r="C40" s="37"/>
      <c r="D40" s="37"/>
      <c r="E40" s="37"/>
      <c r="F40" s="37"/>
      <c r="G40" s="37">
        <v>2</v>
      </c>
      <c r="H40" s="37">
        <v>1</v>
      </c>
      <c r="I40" s="37"/>
      <c r="J40" s="37"/>
      <c r="K40" s="37"/>
      <c r="L40" s="37"/>
      <c r="M40" s="37"/>
    </row>
    <row r="41" spans="1:13" s="4" customFormat="1" ht="14.25" customHeight="1" x14ac:dyDescent="0.25">
      <c r="A41" s="39" t="s">
        <v>660</v>
      </c>
      <c r="B41" s="39" t="s">
        <v>661</v>
      </c>
      <c r="C41" s="37"/>
      <c r="D41" s="37"/>
      <c r="E41" s="37"/>
      <c r="F41" s="37"/>
      <c r="G41" s="37"/>
      <c r="H41" s="37"/>
      <c r="I41" s="37">
        <v>0.5</v>
      </c>
      <c r="J41" s="37"/>
      <c r="K41" s="37"/>
      <c r="L41" s="37"/>
      <c r="M41" s="37"/>
    </row>
    <row r="42" spans="1:13" s="4" customFormat="1" ht="29.25" customHeight="1" x14ac:dyDescent="0.25">
      <c r="A42" s="38" t="s">
        <v>583</v>
      </c>
      <c r="B42" s="38" t="s">
        <v>584</v>
      </c>
      <c r="C42" s="37"/>
      <c r="D42" s="37"/>
      <c r="E42" s="37"/>
      <c r="F42" s="37"/>
      <c r="G42" s="37"/>
      <c r="H42" s="37"/>
      <c r="I42" s="37">
        <v>22834</v>
      </c>
      <c r="J42" s="37">
        <v>10200</v>
      </c>
      <c r="K42" s="37"/>
      <c r="L42" s="37">
        <v>5000</v>
      </c>
      <c r="M42" s="37"/>
    </row>
    <row r="43" spans="1:13" s="4" customFormat="1" ht="18.75" customHeight="1" x14ac:dyDescent="0.25">
      <c r="A43" s="39" t="s">
        <v>585</v>
      </c>
      <c r="B43" s="38" t="s">
        <v>586</v>
      </c>
      <c r="C43" s="37"/>
      <c r="D43" s="37"/>
      <c r="E43" s="37"/>
      <c r="F43" s="37"/>
      <c r="G43" s="37"/>
      <c r="H43" s="37"/>
      <c r="I43" s="37"/>
      <c r="J43" s="37"/>
      <c r="K43" s="37"/>
      <c r="L43" s="37"/>
      <c r="M43" s="37"/>
    </row>
    <row r="44" spans="1:13" s="4" customFormat="1" ht="17.25" customHeight="1" x14ac:dyDescent="0.25">
      <c r="A44" s="38" t="s">
        <v>587</v>
      </c>
      <c r="B44" s="38" t="s">
        <v>588</v>
      </c>
      <c r="C44" s="37"/>
      <c r="D44" s="37"/>
      <c r="E44" s="37"/>
      <c r="F44" s="37"/>
      <c r="G44" s="37"/>
      <c r="H44" s="37"/>
      <c r="I44" s="37"/>
      <c r="J44" s="72"/>
      <c r="K44" s="37"/>
      <c r="L44" s="37"/>
      <c r="M44" s="37"/>
    </row>
    <row r="45" spans="1:13" s="4" customFormat="1" ht="50.25" customHeight="1" x14ac:dyDescent="0.25">
      <c r="A45" s="38" t="s">
        <v>589</v>
      </c>
      <c r="B45" s="38" t="s">
        <v>590</v>
      </c>
      <c r="C45" s="37"/>
      <c r="D45" s="37"/>
      <c r="E45" s="37"/>
      <c r="F45" s="37"/>
      <c r="G45" s="37"/>
      <c r="H45" s="37"/>
      <c r="I45" s="37"/>
      <c r="J45" s="37"/>
      <c r="K45" s="37">
        <v>66</v>
      </c>
      <c r="L45" s="37">
        <v>388</v>
      </c>
      <c r="M45" s="37"/>
    </row>
    <row r="46" spans="1:13" s="4" customFormat="1" ht="15.75" customHeight="1" x14ac:dyDescent="0.25">
      <c r="A46" s="39" t="s">
        <v>686</v>
      </c>
      <c r="B46" s="39" t="s">
        <v>687</v>
      </c>
      <c r="C46" s="37"/>
      <c r="D46" s="37"/>
      <c r="E46" s="37"/>
      <c r="F46" s="37"/>
      <c r="G46" s="37"/>
      <c r="H46" s="37"/>
      <c r="I46" s="37"/>
      <c r="J46" s="37"/>
      <c r="K46" s="37"/>
      <c r="L46" s="37"/>
      <c r="M46" s="37"/>
    </row>
    <row r="47" spans="1:13" s="4" customFormat="1" ht="29.25" customHeight="1" x14ac:dyDescent="0.25">
      <c r="A47" s="38" t="s">
        <v>591</v>
      </c>
      <c r="B47" s="38" t="s">
        <v>592</v>
      </c>
      <c r="C47" s="37"/>
      <c r="D47" s="37"/>
      <c r="E47" s="37"/>
      <c r="F47" s="37"/>
      <c r="G47" s="37"/>
      <c r="H47" s="37"/>
      <c r="I47" s="37">
        <v>5</v>
      </c>
      <c r="J47" s="37">
        <v>6</v>
      </c>
      <c r="K47" s="37"/>
      <c r="L47" s="37"/>
      <c r="M47" s="37"/>
    </row>
    <row r="48" spans="1:13" s="4" customFormat="1" ht="30" customHeight="1" x14ac:dyDescent="0.25">
      <c r="A48" s="38" t="s">
        <v>593</v>
      </c>
      <c r="B48" s="38" t="s">
        <v>594</v>
      </c>
      <c r="C48" s="37"/>
      <c r="D48" s="37"/>
      <c r="E48" s="37"/>
      <c r="F48" s="37"/>
      <c r="G48" s="37"/>
      <c r="H48" s="37"/>
      <c r="I48" s="37">
        <v>3</v>
      </c>
      <c r="J48" s="37">
        <v>9</v>
      </c>
      <c r="K48" s="37">
        <v>1</v>
      </c>
      <c r="L48" s="37"/>
      <c r="M48" s="37"/>
    </row>
    <row r="49" spans="1:13" s="4" customFormat="1" ht="27.75" customHeight="1" x14ac:dyDescent="0.25">
      <c r="A49" s="38" t="s">
        <v>595</v>
      </c>
      <c r="B49" s="38" t="s">
        <v>596</v>
      </c>
      <c r="C49" s="37"/>
      <c r="D49" s="37"/>
      <c r="E49" s="37"/>
      <c r="F49" s="37"/>
      <c r="G49" s="37"/>
      <c r="H49" s="37">
        <v>2</v>
      </c>
      <c r="I49" s="37">
        <v>1</v>
      </c>
      <c r="J49" s="37">
        <v>8</v>
      </c>
      <c r="K49" s="37"/>
      <c r="L49" s="37"/>
      <c r="M49" s="37"/>
    </row>
    <row r="50" spans="1:13" s="4" customFormat="1" ht="31.5" customHeight="1" x14ac:dyDescent="0.25">
      <c r="A50" s="39" t="s">
        <v>684</v>
      </c>
      <c r="B50" s="39" t="s">
        <v>685</v>
      </c>
      <c r="C50" s="37"/>
      <c r="D50" s="37"/>
      <c r="E50" s="37"/>
      <c r="F50" s="37"/>
      <c r="G50" s="37"/>
      <c r="H50" s="37"/>
      <c r="I50" s="37">
        <v>13</v>
      </c>
      <c r="J50" s="37">
        <v>23</v>
      </c>
      <c r="K50" s="37"/>
      <c r="L50" s="37"/>
      <c r="M50" s="37"/>
    </row>
    <row r="51" spans="1:13" s="4" customFormat="1" ht="16.5" customHeight="1" x14ac:dyDescent="0.25">
      <c r="A51" s="39" t="s">
        <v>662</v>
      </c>
      <c r="B51" s="39" t="s">
        <v>663</v>
      </c>
      <c r="C51" s="37"/>
      <c r="D51" s="37"/>
      <c r="E51" s="37"/>
      <c r="F51" s="37"/>
      <c r="G51" s="37"/>
      <c r="H51" s="37"/>
      <c r="I51" s="37">
        <v>274</v>
      </c>
      <c r="J51" s="37">
        <v>1073</v>
      </c>
      <c r="K51" s="37"/>
      <c r="L51" s="37"/>
      <c r="M51" s="37"/>
    </row>
    <row r="52" spans="1:13" s="4" customFormat="1" ht="16.5" customHeight="1" x14ac:dyDescent="0.25">
      <c r="A52" s="39" t="s">
        <v>664</v>
      </c>
      <c r="B52" s="39" t="s">
        <v>665</v>
      </c>
      <c r="C52" s="37"/>
      <c r="D52" s="37"/>
      <c r="E52" s="37"/>
      <c r="F52" s="37"/>
      <c r="G52" s="37"/>
      <c r="H52" s="37"/>
      <c r="I52" s="37"/>
      <c r="J52" s="37">
        <v>2</v>
      </c>
      <c r="K52" s="37">
        <v>1</v>
      </c>
      <c r="L52" s="37"/>
      <c r="M52" s="37"/>
    </row>
    <row r="53" spans="1:13" s="4" customFormat="1" ht="40.5" customHeight="1" x14ac:dyDescent="0.25">
      <c r="A53" s="38" t="s">
        <v>597</v>
      </c>
      <c r="B53" s="38" t="s">
        <v>598</v>
      </c>
      <c r="C53" s="37"/>
      <c r="D53" s="37"/>
      <c r="E53" s="37"/>
      <c r="F53" s="37"/>
      <c r="G53" s="37"/>
      <c r="H53" s="37"/>
      <c r="I53" s="37"/>
      <c r="J53" s="37"/>
      <c r="K53" s="37"/>
      <c r="L53" s="37"/>
      <c r="M53" s="37"/>
    </row>
    <row r="54" spans="1:13" s="4" customFormat="1" ht="28.5" customHeight="1" x14ac:dyDescent="0.25">
      <c r="A54" s="39" t="s">
        <v>689</v>
      </c>
      <c r="B54" s="39" t="s">
        <v>658</v>
      </c>
      <c r="C54" s="37"/>
      <c r="D54" s="37"/>
      <c r="E54" s="37"/>
      <c r="F54" s="37"/>
      <c r="G54" s="37"/>
      <c r="H54" s="37"/>
      <c r="I54" s="37"/>
      <c r="J54" s="37">
        <v>2</v>
      </c>
      <c r="K54" s="37"/>
      <c r="L54" s="37"/>
      <c r="M54" s="37"/>
    </row>
    <row r="55" spans="1:13" s="4" customFormat="1" ht="15" customHeight="1" x14ac:dyDescent="0.25">
      <c r="A55" s="43" t="s">
        <v>650</v>
      </c>
      <c r="B55" s="42" t="s">
        <v>651</v>
      </c>
      <c r="C55" s="37"/>
      <c r="D55" s="37"/>
      <c r="E55" s="37"/>
      <c r="F55" s="37"/>
      <c r="G55" s="37"/>
      <c r="H55" s="37"/>
      <c r="I55" s="37"/>
      <c r="J55" s="37">
        <v>2</v>
      </c>
      <c r="K55" s="37"/>
      <c r="L55" s="37"/>
      <c r="M55" s="37"/>
    </row>
    <row r="56" spans="1:13" s="4" customFormat="1" ht="30" customHeight="1" x14ac:dyDescent="0.25">
      <c r="A56" s="38" t="s">
        <v>599</v>
      </c>
      <c r="B56" s="38" t="s">
        <v>600</v>
      </c>
      <c r="C56" s="37"/>
      <c r="D56" s="37"/>
      <c r="E56" s="37"/>
      <c r="F56" s="37"/>
      <c r="G56" s="37"/>
      <c r="H56" s="37">
        <v>11.399999999999999</v>
      </c>
      <c r="I56" s="37"/>
      <c r="J56" s="37">
        <v>8.77</v>
      </c>
      <c r="K56" s="37"/>
      <c r="L56" s="37"/>
      <c r="M56" s="37"/>
    </row>
    <row r="57" spans="1:13" s="4" customFormat="1" ht="29.25" customHeight="1" x14ac:dyDescent="0.25">
      <c r="A57" s="38" t="s">
        <v>601</v>
      </c>
      <c r="B57" s="38" t="s">
        <v>602</v>
      </c>
      <c r="C57" s="37"/>
      <c r="D57" s="37"/>
      <c r="E57" s="37"/>
      <c r="F57" s="37"/>
      <c r="G57" s="37"/>
      <c r="H57" s="37"/>
      <c r="I57" s="37"/>
      <c r="J57" s="37">
        <v>1.5980000000000001</v>
      </c>
      <c r="K57" s="37"/>
      <c r="L57" s="37"/>
      <c r="M57" s="37"/>
    </row>
    <row r="58" spans="1:13" s="4" customFormat="1" ht="18.75" customHeight="1" x14ac:dyDescent="0.25">
      <c r="A58" s="38" t="s">
        <v>603</v>
      </c>
      <c r="B58" s="38" t="s">
        <v>604</v>
      </c>
      <c r="C58" s="37"/>
      <c r="D58" s="37"/>
      <c r="E58" s="37"/>
      <c r="F58" s="37"/>
      <c r="G58" s="37"/>
      <c r="H58" s="37"/>
      <c r="I58" s="37">
        <v>10</v>
      </c>
      <c r="J58" s="37">
        <v>3</v>
      </c>
      <c r="K58" s="37"/>
      <c r="L58" s="37"/>
      <c r="M58" s="37"/>
    </row>
    <row r="59" spans="1:13" s="4" customFormat="1" ht="16.5" customHeight="1" x14ac:dyDescent="0.25">
      <c r="A59" s="38" t="s">
        <v>688</v>
      </c>
      <c r="B59" s="38" t="s">
        <v>873</v>
      </c>
      <c r="C59" s="37"/>
      <c r="D59" s="37"/>
      <c r="E59" s="37"/>
      <c r="F59" s="37"/>
      <c r="G59" s="37"/>
      <c r="H59" s="37"/>
      <c r="I59" s="37"/>
      <c r="J59" s="37"/>
      <c r="K59" s="37"/>
      <c r="L59" s="37"/>
      <c r="M59" s="37"/>
    </row>
    <row r="60" spans="1:13" s="4" customFormat="1" ht="32.25" customHeight="1" x14ac:dyDescent="0.25">
      <c r="A60" s="38" t="s">
        <v>605</v>
      </c>
      <c r="B60" s="38" t="s">
        <v>606</v>
      </c>
      <c r="C60" s="37"/>
      <c r="D60" s="37"/>
      <c r="E60" s="37"/>
      <c r="F60" s="37"/>
      <c r="G60" s="37"/>
      <c r="H60" s="37">
        <v>24</v>
      </c>
      <c r="I60" s="37"/>
      <c r="J60" s="37">
        <v>2</v>
      </c>
      <c r="K60" s="37">
        <v>4</v>
      </c>
      <c r="L60" s="37"/>
      <c r="M60" s="37"/>
    </row>
    <row r="61" spans="1:13" s="4" customFormat="1" ht="42.75" customHeight="1" x14ac:dyDescent="0.25">
      <c r="A61" s="38" t="s">
        <v>607</v>
      </c>
      <c r="B61" s="38" t="s">
        <v>608</v>
      </c>
      <c r="C61" s="37"/>
      <c r="D61" s="37"/>
      <c r="E61" s="37"/>
      <c r="F61" s="37"/>
      <c r="G61" s="37"/>
      <c r="H61" s="37"/>
      <c r="I61" s="37">
        <v>928.85</v>
      </c>
      <c r="J61" s="37">
        <v>228.22</v>
      </c>
      <c r="K61" s="37"/>
      <c r="L61" s="37"/>
      <c r="M61" s="37"/>
    </row>
    <row r="62" spans="1:13" s="4" customFormat="1" ht="32.25" customHeight="1" x14ac:dyDescent="0.25">
      <c r="A62" s="39" t="s">
        <v>609</v>
      </c>
      <c r="B62" s="38" t="s">
        <v>610</v>
      </c>
      <c r="C62" s="37"/>
      <c r="D62" s="37"/>
      <c r="E62" s="37"/>
      <c r="F62" s="37"/>
      <c r="G62" s="37"/>
      <c r="H62" s="37">
        <v>30029.1</v>
      </c>
      <c r="I62" s="37">
        <v>1600</v>
      </c>
      <c r="J62" s="37"/>
      <c r="K62" s="37"/>
      <c r="L62" s="37"/>
      <c r="M62" s="37"/>
    </row>
    <row r="63" spans="1:13" s="4" customFormat="1" ht="32.25" customHeight="1" x14ac:dyDescent="0.25">
      <c r="A63" s="38" t="s">
        <v>611</v>
      </c>
      <c r="B63" s="38" t="s">
        <v>612</v>
      </c>
      <c r="C63" s="37"/>
      <c r="D63" s="37"/>
      <c r="E63" s="37"/>
      <c r="F63" s="37"/>
      <c r="G63" s="37">
        <v>0.65</v>
      </c>
      <c r="H63" s="37"/>
      <c r="I63" s="37">
        <v>52.932000000000002</v>
      </c>
      <c r="J63" s="37">
        <v>7.62</v>
      </c>
      <c r="K63" s="37">
        <v>9.8369999999999997</v>
      </c>
      <c r="L63" s="37"/>
      <c r="M63" s="37"/>
    </row>
    <row r="64" spans="1:13" s="4" customFormat="1" ht="35.25" customHeight="1" x14ac:dyDescent="0.25">
      <c r="A64" s="38" t="s">
        <v>613</v>
      </c>
      <c r="B64" s="38" t="s">
        <v>614</v>
      </c>
      <c r="C64" s="37"/>
      <c r="D64" s="37"/>
      <c r="E64" s="37"/>
      <c r="F64" s="37"/>
      <c r="G64" s="37"/>
      <c r="H64" s="37"/>
      <c r="I64" s="37">
        <v>6</v>
      </c>
      <c r="J64" s="37">
        <v>1</v>
      </c>
      <c r="K64" s="37"/>
      <c r="L64" s="37"/>
      <c r="M64" s="37"/>
    </row>
    <row r="65" spans="1:13" s="4" customFormat="1" ht="33" customHeight="1" x14ac:dyDescent="0.25">
      <c r="A65" s="38" t="s">
        <v>874</v>
      </c>
      <c r="B65" s="38" t="s">
        <v>875</v>
      </c>
      <c r="C65" s="37"/>
      <c r="D65" s="37"/>
      <c r="E65" s="37"/>
      <c r="F65" s="37"/>
      <c r="G65" s="37"/>
      <c r="H65" s="37"/>
      <c r="I65" s="37">
        <v>1</v>
      </c>
      <c r="J65" s="37"/>
      <c r="K65" s="37"/>
      <c r="L65" s="37"/>
      <c r="M65" s="37"/>
    </row>
    <row r="66" spans="1:13" s="4" customFormat="1" ht="32.25" customHeight="1" x14ac:dyDescent="0.25">
      <c r="A66" s="38" t="s">
        <v>615</v>
      </c>
      <c r="B66" s="38" t="s">
        <v>616</v>
      </c>
      <c r="C66" s="37"/>
      <c r="D66" s="37"/>
      <c r="E66" s="37"/>
      <c r="F66" s="37"/>
      <c r="G66" s="37"/>
      <c r="H66" s="37">
        <v>2</v>
      </c>
      <c r="I66" s="37">
        <v>2</v>
      </c>
      <c r="J66" s="37"/>
      <c r="K66" s="37"/>
      <c r="L66" s="37"/>
      <c r="M66" s="37">
        <v>1</v>
      </c>
    </row>
    <row r="67" spans="1:13" s="4" customFormat="1" ht="12.75" customHeight="1" x14ac:dyDescent="0.25">
      <c r="A67" s="43" t="s">
        <v>646</v>
      </c>
      <c r="B67" s="42" t="s">
        <v>647</v>
      </c>
      <c r="C67" s="37"/>
      <c r="D67" s="37"/>
      <c r="E67" s="37"/>
      <c r="F67" s="37"/>
      <c r="G67" s="37"/>
      <c r="H67" s="37">
        <v>9</v>
      </c>
      <c r="I67" s="37"/>
      <c r="J67" s="37"/>
      <c r="K67" s="37"/>
      <c r="L67" s="37"/>
      <c r="M67" s="37"/>
    </row>
    <row r="68" spans="1:13" s="4" customFormat="1" ht="29.25" customHeight="1" x14ac:dyDescent="0.25">
      <c r="A68" s="40" t="s">
        <v>617</v>
      </c>
      <c r="B68" s="41" t="s">
        <v>618</v>
      </c>
      <c r="C68" s="37"/>
      <c r="D68" s="37"/>
      <c r="E68" s="37"/>
      <c r="F68" s="37"/>
      <c r="G68" s="37">
        <v>17</v>
      </c>
      <c r="H68" s="37">
        <v>11</v>
      </c>
      <c r="I68" s="37">
        <v>3</v>
      </c>
      <c r="J68" s="37">
        <v>8</v>
      </c>
      <c r="K68" s="37">
        <v>1</v>
      </c>
      <c r="L68" s="37"/>
      <c r="M68" s="37">
        <v>2</v>
      </c>
    </row>
    <row r="69" spans="1:13" ht="29.25" customHeight="1" x14ac:dyDescent="0.25">
      <c r="A69" s="38" t="s">
        <v>619</v>
      </c>
      <c r="B69" s="38" t="s">
        <v>620</v>
      </c>
      <c r="C69" s="37"/>
      <c r="D69" s="37"/>
      <c r="E69" s="37"/>
      <c r="F69" s="37"/>
      <c r="G69" s="37"/>
      <c r="H69" s="37"/>
      <c r="I69" s="37">
        <v>5</v>
      </c>
      <c r="J69" s="37">
        <v>1</v>
      </c>
      <c r="K69" s="37">
        <v>3</v>
      </c>
      <c r="L69" s="37"/>
      <c r="M69" s="37"/>
    </row>
    <row r="70" spans="1:13" ht="29.25" customHeight="1" x14ac:dyDescent="0.25">
      <c r="A70" s="38" t="s">
        <v>621</v>
      </c>
      <c r="B70" s="38" t="s">
        <v>622</v>
      </c>
      <c r="C70" s="37"/>
      <c r="D70" s="37"/>
      <c r="E70" s="37"/>
      <c r="F70" s="37"/>
      <c r="G70" s="37">
        <v>3</v>
      </c>
      <c r="H70" s="37">
        <v>210</v>
      </c>
      <c r="I70" s="37">
        <v>41</v>
      </c>
      <c r="J70" s="37">
        <v>40</v>
      </c>
      <c r="K70" s="37"/>
      <c r="L70" s="37">
        <v>80</v>
      </c>
      <c r="M70" s="37"/>
    </row>
    <row r="71" spans="1:13" ht="25.5" customHeight="1" x14ac:dyDescent="0.25">
      <c r="A71" s="39" t="s">
        <v>644</v>
      </c>
      <c r="B71" s="42" t="s">
        <v>645</v>
      </c>
      <c r="C71" s="37"/>
      <c r="D71" s="37"/>
      <c r="E71" s="37"/>
      <c r="F71" s="37"/>
      <c r="G71" s="37"/>
      <c r="H71" s="37"/>
      <c r="I71" s="37">
        <v>2</v>
      </c>
      <c r="J71" s="37"/>
      <c r="K71" s="37"/>
      <c r="L71" s="37"/>
      <c r="M71" s="37"/>
    </row>
    <row r="72" spans="1:13" ht="18.75" customHeight="1" x14ac:dyDescent="0.25">
      <c r="A72" s="38" t="s">
        <v>623</v>
      </c>
      <c r="B72" s="38" t="s">
        <v>624</v>
      </c>
      <c r="C72" s="37"/>
      <c r="D72" s="37"/>
      <c r="E72" s="37"/>
      <c r="F72" s="37"/>
      <c r="G72" s="37"/>
      <c r="H72" s="37"/>
      <c r="I72" s="37">
        <v>129014</v>
      </c>
      <c r="J72" s="72">
        <v>143675.5</v>
      </c>
      <c r="K72" s="37">
        <v>40000</v>
      </c>
      <c r="L72" s="37">
        <v>3938</v>
      </c>
      <c r="M72" s="37"/>
    </row>
    <row r="73" spans="1:13" ht="36.75" customHeight="1" x14ac:dyDescent="0.25">
      <c r="A73" s="38" t="s">
        <v>625</v>
      </c>
      <c r="B73" s="38" t="s">
        <v>626</v>
      </c>
      <c r="C73" s="37"/>
      <c r="D73" s="37"/>
      <c r="E73" s="37"/>
      <c r="F73" s="37"/>
      <c r="G73" s="37"/>
      <c r="H73" s="37"/>
      <c r="I73" s="37"/>
      <c r="J73" s="37">
        <v>255.37</v>
      </c>
      <c r="K73" s="37"/>
      <c r="L73" s="37"/>
      <c r="M73" s="37"/>
    </row>
    <row r="74" spans="1:13" ht="59.25" customHeight="1" x14ac:dyDescent="0.25">
      <c r="A74" s="38" t="s">
        <v>627</v>
      </c>
      <c r="B74" s="38" t="s">
        <v>628</v>
      </c>
      <c r="C74" s="37"/>
      <c r="D74" s="33"/>
      <c r="E74" s="33"/>
      <c r="F74" s="33"/>
      <c r="G74" s="33"/>
      <c r="H74" s="33"/>
      <c r="I74" s="33"/>
      <c r="J74" s="33"/>
      <c r="K74" s="37"/>
      <c r="L74" s="37"/>
      <c r="M74" s="37"/>
    </row>
    <row r="75" spans="1:13" ht="46.5" customHeight="1" x14ac:dyDescent="0.25">
      <c r="A75" s="39" t="s">
        <v>642</v>
      </c>
      <c r="B75" s="42" t="s">
        <v>643</v>
      </c>
      <c r="C75" s="37"/>
      <c r="D75" s="33"/>
      <c r="E75" s="33"/>
      <c r="F75" s="33"/>
      <c r="G75" s="33"/>
      <c r="H75" s="33"/>
      <c r="I75" s="33"/>
      <c r="J75" s="33">
        <v>7383</v>
      </c>
      <c r="K75" s="37">
        <v>4775</v>
      </c>
      <c r="L75" s="37">
        <v>2388</v>
      </c>
      <c r="M75" s="37"/>
    </row>
    <row r="76" spans="1:13" ht="45" customHeight="1" x14ac:dyDescent="0.25">
      <c r="A76" s="38" t="s">
        <v>629</v>
      </c>
      <c r="B76" s="38" t="s">
        <v>630</v>
      </c>
      <c r="C76" s="37"/>
      <c r="D76" s="33"/>
      <c r="E76" s="33"/>
      <c r="F76" s="33"/>
      <c r="G76" s="33"/>
      <c r="H76" s="33">
        <v>2</v>
      </c>
      <c r="I76" s="33">
        <v>2</v>
      </c>
      <c r="J76" s="33">
        <v>4</v>
      </c>
      <c r="K76" s="37"/>
      <c r="L76" s="37"/>
      <c r="M76" s="37"/>
    </row>
    <row r="77" spans="1:13" ht="33" customHeight="1" x14ac:dyDescent="0.25">
      <c r="A77" s="39" t="s">
        <v>682</v>
      </c>
      <c r="B77" s="39" t="s">
        <v>683</v>
      </c>
      <c r="C77" s="37"/>
      <c r="D77" s="33"/>
      <c r="E77" s="33"/>
      <c r="F77" s="33"/>
      <c r="G77" s="33"/>
      <c r="H77" s="33"/>
      <c r="I77" s="33">
        <v>180</v>
      </c>
      <c r="J77" s="33">
        <v>238</v>
      </c>
      <c r="K77" s="37"/>
      <c r="L77" s="37"/>
      <c r="M77" s="37"/>
    </row>
    <row r="78" spans="1:13" s="4" customFormat="1" ht="42.75" customHeight="1" x14ac:dyDescent="0.25">
      <c r="A78" s="44" t="s">
        <v>631</v>
      </c>
      <c r="B78" s="88" t="s">
        <v>632</v>
      </c>
      <c r="C78" s="37"/>
      <c r="D78" s="83"/>
      <c r="E78" s="83"/>
      <c r="F78" s="83"/>
      <c r="G78" s="83"/>
      <c r="H78" s="83">
        <v>2</v>
      </c>
      <c r="I78" s="83"/>
      <c r="J78" s="83">
        <v>5</v>
      </c>
      <c r="K78" s="37">
        <v>19</v>
      </c>
      <c r="L78" s="37"/>
      <c r="M78" s="37"/>
    </row>
    <row r="79" spans="1:13" s="4" customFormat="1" ht="58.5" customHeight="1" x14ac:dyDescent="0.25">
      <c r="A79" s="38" t="s">
        <v>633</v>
      </c>
      <c r="B79" s="38" t="s">
        <v>634</v>
      </c>
      <c r="C79" s="37"/>
      <c r="D79" s="83"/>
      <c r="E79" s="83"/>
      <c r="F79" s="83"/>
      <c r="G79" s="83"/>
      <c r="H79" s="83">
        <v>30</v>
      </c>
      <c r="I79" s="83"/>
      <c r="J79" s="83">
        <v>125</v>
      </c>
      <c r="K79" s="37">
        <v>23</v>
      </c>
      <c r="L79" s="37"/>
      <c r="M79" s="37"/>
    </row>
    <row r="80" spans="1:13" s="4" customFormat="1" ht="33" customHeight="1" x14ac:dyDescent="0.25">
      <c r="A80" s="38" t="s">
        <v>636</v>
      </c>
      <c r="B80" s="38" t="s">
        <v>637</v>
      </c>
      <c r="C80" s="37"/>
      <c r="D80" s="83"/>
      <c r="E80" s="83"/>
      <c r="F80" s="83"/>
      <c r="G80" s="83"/>
      <c r="H80" s="83">
        <v>140.91</v>
      </c>
      <c r="I80" s="83">
        <v>7.9</v>
      </c>
      <c r="J80" s="83">
        <v>1.86</v>
      </c>
      <c r="K80" s="37"/>
      <c r="L80" s="37"/>
      <c r="M80" s="37">
        <v>2</v>
      </c>
    </row>
    <row r="81" spans="1:13" s="4" customFormat="1" ht="33" customHeight="1" x14ac:dyDescent="0.25">
      <c r="A81" s="38" t="s">
        <v>638</v>
      </c>
      <c r="B81" s="38" t="s">
        <v>639</v>
      </c>
      <c r="C81" s="37"/>
      <c r="D81" s="83"/>
      <c r="E81" s="83"/>
      <c r="F81" s="83"/>
      <c r="G81" s="83"/>
      <c r="H81" s="83"/>
      <c r="I81" s="83">
        <v>229</v>
      </c>
      <c r="J81" s="83">
        <v>118</v>
      </c>
      <c r="K81" s="37">
        <v>131</v>
      </c>
      <c r="L81" s="37"/>
      <c r="M81" s="37"/>
    </row>
    <row r="82" spans="1:13" s="4" customFormat="1" ht="33" customHeight="1" x14ac:dyDescent="0.25">
      <c r="A82" s="39" t="s">
        <v>668</v>
      </c>
      <c r="B82" s="39" t="s">
        <v>669</v>
      </c>
      <c r="C82" s="37"/>
      <c r="D82" s="83"/>
      <c r="E82" s="83"/>
      <c r="F82" s="83"/>
      <c r="G82" s="83"/>
      <c r="H82" s="83"/>
      <c r="I82" s="83">
        <v>153</v>
      </c>
      <c r="J82" s="83">
        <v>78</v>
      </c>
      <c r="K82" s="37">
        <v>68</v>
      </c>
      <c r="L82" s="37"/>
      <c r="M82" s="37"/>
    </row>
    <row r="83" spans="1:13" s="4" customFormat="1" ht="33" customHeight="1" x14ac:dyDescent="0.25">
      <c r="A83" s="38" t="s">
        <v>635</v>
      </c>
      <c r="B83" s="38" t="s">
        <v>876</v>
      </c>
      <c r="C83" s="37"/>
      <c r="D83" s="83"/>
      <c r="E83" s="83"/>
      <c r="F83" s="83"/>
      <c r="G83" s="83"/>
      <c r="H83" s="83"/>
      <c r="I83" s="83"/>
      <c r="J83" s="83"/>
      <c r="K83" s="37"/>
      <c r="L83" s="37"/>
      <c r="M83" s="37"/>
    </row>
    <row r="84" spans="1:13" s="4" customFormat="1" ht="48.75" customHeight="1" x14ac:dyDescent="0.25">
      <c r="A84" s="39" t="s">
        <v>666</v>
      </c>
      <c r="B84" s="39" t="s">
        <v>667</v>
      </c>
      <c r="C84" s="37"/>
      <c r="D84" s="83"/>
      <c r="E84" s="83"/>
      <c r="F84" s="83"/>
      <c r="G84" s="83"/>
      <c r="H84" s="83"/>
      <c r="I84" s="83"/>
      <c r="J84" s="83"/>
      <c r="K84" s="37"/>
      <c r="L84" s="37"/>
      <c r="M84" s="37"/>
    </row>
    <row r="85" spans="1:13" s="4" customFormat="1" ht="33" customHeight="1" x14ac:dyDescent="0.25">
      <c r="A85" s="39" t="s">
        <v>703</v>
      </c>
      <c r="B85" s="39" t="s">
        <v>659</v>
      </c>
      <c r="C85" s="37"/>
      <c r="D85" s="83"/>
      <c r="E85" s="83"/>
      <c r="F85" s="83"/>
      <c r="G85" s="83">
        <v>7.9899999999999999E-2</v>
      </c>
      <c r="H85" s="83">
        <v>4.5821869999999997E-3</v>
      </c>
      <c r="I85" s="83">
        <v>2.5831828999999997E-2</v>
      </c>
      <c r="J85" s="83">
        <v>0.93576673200000005</v>
      </c>
      <c r="K85" s="37"/>
      <c r="L85" s="37"/>
      <c r="M85" s="37">
        <v>1.8509599999999999E-4</v>
      </c>
    </row>
    <row r="86" spans="1:13" s="4" customFormat="1" ht="17.25" customHeight="1" x14ac:dyDescent="0.25">
      <c r="A86" s="39" t="s">
        <v>877</v>
      </c>
      <c r="B86" s="39" t="s">
        <v>700</v>
      </c>
      <c r="C86" s="37"/>
      <c r="D86" s="83"/>
      <c r="E86" s="83"/>
      <c r="F86" s="83"/>
      <c r="G86" s="83">
        <v>1</v>
      </c>
      <c r="H86" s="83"/>
      <c r="I86" s="83"/>
      <c r="J86" s="83">
        <v>1</v>
      </c>
      <c r="K86" s="37"/>
      <c r="L86" s="37"/>
      <c r="M86" s="37"/>
    </row>
    <row r="87" spans="1:13" s="4" customFormat="1" ht="17.25" customHeight="1" x14ac:dyDescent="0.25">
      <c r="A87" s="39" t="s">
        <v>878</v>
      </c>
      <c r="B87" s="39" t="s">
        <v>699</v>
      </c>
      <c r="C87" s="37"/>
      <c r="D87" s="83"/>
      <c r="E87" s="83"/>
      <c r="F87" s="83"/>
      <c r="G87" s="83"/>
      <c r="H87" s="83"/>
      <c r="I87" s="83"/>
      <c r="J87" s="83">
        <v>1</v>
      </c>
      <c r="K87" s="37"/>
      <c r="L87" s="37"/>
      <c r="M87" s="37"/>
    </row>
    <row r="88" spans="1:13" s="4" customFormat="1" ht="17.25" customHeight="1" x14ac:dyDescent="0.25">
      <c r="A88" s="39" t="s">
        <v>879</v>
      </c>
      <c r="B88" s="39" t="s">
        <v>698</v>
      </c>
      <c r="C88" s="37"/>
      <c r="D88" s="83"/>
      <c r="E88" s="83"/>
      <c r="F88" s="83"/>
      <c r="G88" s="83"/>
      <c r="H88" s="83"/>
      <c r="I88" s="83"/>
      <c r="J88" s="83">
        <v>1</v>
      </c>
      <c r="K88" s="37"/>
      <c r="L88" s="37"/>
      <c r="M88" s="37"/>
    </row>
    <row r="89" spans="1:13" s="4" customFormat="1" ht="17.25" customHeight="1" x14ac:dyDescent="0.25">
      <c r="A89" s="39" t="s">
        <v>880</v>
      </c>
      <c r="B89" s="39" t="s">
        <v>697</v>
      </c>
      <c r="C89" s="37"/>
      <c r="D89" s="83"/>
      <c r="E89" s="83"/>
      <c r="F89" s="83"/>
      <c r="G89" s="83"/>
      <c r="H89" s="83">
        <v>1</v>
      </c>
      <c r="I89" s="83"/>
      <c r="J89" s="83"/>
      <c r="K89" s="37"/>
      <c r="L89" s="37"/>
      <c r="M89" s="37"/>
    </row>
    <row r="90" spans="1:13" s="4" customFormat="1" ht="17.25" customHeight="1" x14ac:dyDescent="0.25">
      <c r="A90" s="39" t="s">
        <v>881</v>
      </c>
      <c r="B90" s="39" t="s">
        <v>696</v>
      </c>
      <c r="C90" s="37"/>
      <c r="D90" s="83"/>
      <c r="E90" s="83"/>
      <c r="F90" s="83"/>
      <c r="G90" s="83"/>
      <c r="H90" s="83">
        <v>1</v>
      </c>
      <c r="I90" s="83"/>
      <c r="J90" s="83"/>
      <c r="K90" s="37"/>
      <c r="L90" s="37"/>
      <c r="M90" s="37"/>
    </row>
    <row r="91" spans="1:13" s="4" customFormat="1" ht="17.25" customHeight="1" x14ac:dyDescent="0.25">
      <c r="A91" s="39" t="s">
        <v>882</v>
      </c>
      <c r="B91" s="39" t="s">
        <v>695</v>
      </c>
      <c r="C91" s="37"/>
      <c r="D91" s="83"/>
      <c r="E91" s="83"/>
      <c r="F91" s="83"/>
      <c r="G91" s="83">
        <v>1</v>
      </c>
      <c r="H91" s="83"/>
      <c r="I91" s="83"/>
      <c r="J91" s="83"/>
      <c r="K91" s="37"/>
      <c r="L91" s="37"/>
      <c r="M91" s="37"/>
    </row>
    <row r="93" spans="1:13" ht="15.75" x14ac:dyDescent="0.25">
      <c r="A93" s="5" t="s">
        <v>24</v>
      </c>
      <c r="B93" s="18"/>
      <c r="C93" s="18"/>
      <c r="D93" s="18"/>
      <c r="E93" s="18"/>
      <c r="F93" s="18"/>
      <c r="G93" s="18"/>
      <c r="H93" s="18"/>
      <c r="I93" s="18"/>
      <c r="J93" s="18"/>
      <c r="K93" s="18"/>
      <c r="L93" s="18"/>
      <c r="M93" s="18"/>
    </row>
    <row r="94" spans="1:13" x14ac:dyDescent="0.25">
      <c r="A94" s="21" t="s">
        <v>1</v>
      </c>
      <c r="B94" s="24" t="s">
        <v>19</v>
      </c>
      <c r="C94" s="21" t="s">
        <v>2</v>
      </c>
      <c r="D94" s="21">
        <v>2014</v>
      </c>
      <c r="E94" s="21">
        <v>2015</v>
      </c>
      <c r="F94" s="21">
        <v>2016</v>
      </c>
      <c r="G94" s="21">
        <v>2017</v>
      </c>
      <c r="H94" s="21">
        <v>2018</v>
      </c>
      <c r="I94" s="21">
        <v>2019</v>
      </c>
      <c r="J94" s="21">
        <v>2020</v>
      </c>
      <c r="K94" s="21">
        <v>2021</v>
      </c>
      <c r="L94" s="21">
        <v>2022</v>
      </c>
      <c r="M94" s="21">
        <v>2023</v>
      </c>
    </row>
    <row r="95" spans="1:13" x14ac:dyDescent="0.25">
      <c r="A95" s="38" t="s">
        <v>865</v>
      </c>
      <c r="B95" s="38" t="s">
        <v>554</v>
      </c>
      <c r="C95" s="37"/>
      <c r="D95" s="37"/>
      <c r="E95" s="37"/>
      <c r="F95" s="37"/>
      <c r="G95" s="37"/>
      <c r="H95" s="37">
        <v>1</v>
      </c>
      <c r="I95" s="37">
        <f>H95</f>
        <v>1</v>
      </c>
      <c r="J95" s="37">
        <f>4+I95</f>
        <v>5</v>
      </c>
      <c r="K95" s="37">
        <f>J95</f>
        <v>5</v>
      </c>
      <c r="L95" s="37">
        <f t="shared" ref="L95:M95" si="0">K95</f>
        <v>5</v>
      </c>
      <c r="M95" s="37">
        <f t="shared" si="0"/>
        <v>5</v>
      </c>
    </row>
    <row r="96" spans="1:13" ht="25.5" x14ac:dyDescent="0.25">
      <c r="A96" s="39" t="s">
        <v>866</v>
      </c>
      <c r="B96" s="39" t="s">
        <v>692</v>
      </c>
      <c r="C96" s="37"/>
      <c r="D96" s="83"/>
      <c r="E96" s="83"/>
      <c r="F96" s="83"/>
      <c r="G96" s="83"/>
      <c r="H96" s="83">
        <v>55</v>
      </c>
      <c r="I96" s="83">
        <f>19+H96</f>
        <v>74</v>
      </c>
      <c r="J96" s="83">
        <f>17+I96</f>
        <v>91</v>
      </c>
      <c r="K96" s="37">
        <f>J96</f>
        <v>91</v>
      </c>
      <c r="L96" s="37">
        <f t="shared" ref="L96:M96" si="1">K96</f>
        <v>91</v>
      </c>
      <c r="M96" s="268">
        <f t="shared" si="1"/>
        <v>91</v>
      </c>
    </row>
    <row r="97" spans="1:13" ht="25.5" x14ac:dyDescent="0.25">
      <c r="A97" s="39" t="s">
        <v>867</v>
      </c>
      <c r="B97" s="39" t="s">
        <v>691</v>
      </c>
      <c r="C97" s="37"/>
      <c r="D97" s="83"/>
      <c r="E97" s="83"/>
      <c r="F97" s="83"/>
      <c r="G97" s="83"/>
      <c r="H97" s="85">
        <v>15273</v>
      </c>
      <c r="I97" s="85">
        <f>7641+H97</f>
        <v>22914</v>
      </c>
      <c r="J97" s="85">
        <f>7313+I97</f>
        <v>30227</v>
      </c>
      <c r="K97" s="37">
        <f>J97</f>
        <v>30227</v>
      </c>
      <c r="L97" s="37">
        <f t="shared" ref="L97:M97" si="2">K97</f>
        <v>30227</v>
      </c>
      <c r="M97" s="268">
        <f t="shared" si="2"/>
        <v>30227</v>
      </c>
    </row>
    <row r="98" spans="1:13" ht="25.5" x14ac:dyDescent="0.25">
      <c r="A98" s="39" t="s">
        <v>868</v>
      </c>
      <c r="B98" s="39" t="s">
        <v>690</v>
      </c>
      <c r="C98" s="37"/>
      <c r="D98" s="83"/>
      <c r="E98" s="83"/>
      <c r="F98" s="83"/>
      <c r="G98" s="83"/>
      <c r="H98" s="83">
        <v>37</v>
      </c>
      <c r="I98" s="68">
        <f>13+H98</f>
        <v>50</v>
      </c>
      <c r="J98" s="68">
        <f>17+I98</f>
        <v>67</v>
      </c>
      <c r="K98" s="232">
        <f>J98</f>
        <v>67</v>
      </c>
      <c r="L98" s="232">
        <f t="shared" ref="L98:M99" si="3">K98</f>
        <v>67</v>
      </c>
      <c r="M98" s="269">
        <f t="shared" si="3"/>
        <v>67</v>
      </c>
    </row>
    <row r="99" spans="1:13" ht="38.25" x14ac:dyDescent="0.25">
      <c r="A99" s="38" t="s">
        <v>555</v>
      </c>
      <c r="B99" s="38" t="s">
        <v>556</v>
      </c>
      <c r="C99" s="37"/>
      <c r="D99" s="83"/>
      <c r="E99" s="83"/>
      <c r="F99" s="83"/>
      <c r="G99" s="83"/>
      <c r="H99" s="83"/>
      <c r="I99" s="83">
        <v>66297</v>
      </c>
      <c r="J99" s="83">
        <f>350+I99</f>
        <v>66647</v>
      </c>
      <c r="K99" s="37">
        <f>J99</f>
        <v>66647</v>
      </c>
      <c r="L99" s="37">
        <f t="shared" si="3"/>
        <v>66647</v>
      </c>
      <c r="M99" s="37">
        <f t="shared" si="3"/>
        <v>66647</v>
      </c>
    </row>
    <row r="100" spans="1:13" x14ac:dyDescent="0.25">
      <c r="A100" s="38" t="s">
        <v>557</v>
      </c>
      <c r="B100" s="38" t="s">
        <v>558</v>
      </c>
      <c r="C100" s="37"/>
      <c r="D100" s="83"/>
      <c r="E100" s="83"/>
      <c r="F100" s="83"/>
      <c r="G100" s="83">
        <v>2.903</v>
      </c>
      <c r="H100" s="83">
        <f>1.01+G100</f>
        <v>3.9130000000000003</v>
      </c>
      <c r="I100" s="83">
        <f>2.1585+H100</f>
        <v>6.0715000000000003</v>
      </c>
      <c r="J100" s="83">
        <f>18.814+I100</f>
        <v>24.8855</v>
      </c>
      <c r="K100" s="37">
        <f>2.9+J100</f>
        <v>27.785499999999999</v>
      </c>
      <c r="L100" s="37">
        <f>K100</f>
        <v>27.785499999999999</v>
      </c>
      <c r="M100" s="37">
        <f>2+L100</f>
        <v>29.785499999999999</v>
      </c>
    </row>
    <row r="101" spans="1:13" ht="26.25" x14ac:dyDescent="0.25">
      <c r="A101" s="43" t="s">
        <v>648</v>
      </c>
      <c r="B101" s="42" t="s">
        <v>649</v>
      </c>
      <c r="C101" s="37"/>
      <c r="D101" s="83"/>
      <c r="E101" s="83"/>
      <c r="F101" s="83"/>
      <c r="G101" s="83"/>
      <c r="H101" s="83"/>
      <c r="I101" s="84"/>
      <c r="J101" s="83"/>
      <c r="K101" s="37"/>
      <c r="L101" s="37"/>
      <c r="M101" s="37"/>
    </row>
    <row r="102" spans="1:13" x14ac:dyDescent="0.25">
      <c r="A102" s="42" t="s">
        <v>676</v>
      </c>
      <c r="B102" s="42" t="s">
        <v>677</v>
      </c>
      <c r="C102" s="37"/>
      <c r="D102" s="83"/>
      <c r="E102" s="83"/>
      <c r="F102" s="83"/>
      <c r="G102" s="83"/>
      <c r="H102" s="83">
        <v>0.56259999999999999</v>
      </c>
      <c r="I102" s="83">
        <f>H102</f>
        <v>0.56259999999999999</v>
      </c>
      <c r="J102" s="83">
        <f t="shared" ref="J102:M102" si="4">I102</f>
        <v>0.56259999999999999</v>
      </c>
      <c r="K102" s="83">
        <f t="shared" si="4"/>
        <v>0.56259999999999999</v>
      </c>
      <c r="L102" s="83">
        <f t="shared" si="4"/>
        <v>0.56259999999999999</v>
      </c>
      <c r="M102" s="83">
        <f t="shared" si="4"/>
        <v>0.56259999999999999</v>
      </c>
    </row>
    <row r="103" spans="1:13" ht="26.25" x14ac:dyDescent="0.25">
      <c r="A103" s="43" t="s">
        <v>652</v>
      </c>
      <c r="B103" s="42" t="s">
        <v>653</v>
      </c>
      <c r="C103" s="37"/>
      <c r="D103" s="83"/>
      <c r="E103" s="83"/>
      <c r="F103" s="83"/>
      <c r="G103" s="83"/>
      <c r="H103" s="83"/>
      <c r="I103" s="83"/>
      <c r="J103" s="83"/>
      <c r="K103" s="37"/>
      <c r="L103" s="37"/>
      <c r="M103" s="37"/>
    </row>
    <row r="104" spans="1:13" ht="26.25" x14ac:dyDescent="0.25">
      <c r="A104" s="42" t="s">
        <v>656</v>
      </c>
      <c r="B104" s="42" t="s">
        <v>657</v>
      </c>
      <c r="C104" s="37"/>
      <c r="D104" s="37"/>
      <c r="E104" s="37"/>
      <c r="F104" s="37"/>
      <c r="G104" s="37"/>
      <c r="H104" s="37"/>
      <c r="I104" s="70"/>
      <c r="J104" s="37"/>
      <c r="K104" s="37"/>
      <c r="L104" s="37"/>
      <c r="M104" s="37"/>
    </row>
    <row r="105" spans="1:13" ht="26.25" x14ac:dyDescent="0.25">
      <c r="A105" s="39" t="s">
        <v>640</v>
      </c>
      <c r="B105" s="42" t="s">
        <v>641</v>
      </c>
      <c r="C105" s="37"/>
      <c r="D105" s="37"/>
      <c r="E105" s="37"/>
      <c r="F105" s="37"/>
      <c r="G105" s="37"/>
      <c r="H105" s="37"/>
      <c r="I105" s="37"/>
      <c r="J105" s="37"/>
      <c r="K105" s="37"/>
      <c r="L105" s="37"/>
      <c r="M105" s="37"/>
    </row>
    <row r="106" spans="1:13" ht="26.25" x14ac:dyDescent="0.25">
      <c r="A106" s="43" t="s">
        <v>654</v>
      </c>
      <c r="B106" s="42" t="s">
        <v>655</v>
      </c>
      <c r="C106" s="37"/>
      <c r="D106" s="37"/>
      <c r="E106" s="37"/>
      <c r="F106" s="37"/>
      <c r="G106" s="37"/>
      <c r="H106" s="37">
        <v>1623</v>
      </c>
      <c r="I106" s="37">
        <f>2788+H106</f>
        <v>4411</v>
      </c>
      <c r="J106" s="37">
        <f>8226+I106</f>
        <v>12637</v>
      </c>
      <c r="K106" s="37">
        <f>250+J106</f>
        <v>12887</v>
      </c>
      <c r="L106" s="37">
        <f>K106</f>
        <v>12887</v>
      </c>
      <c r="M106" s="268">
        <f>L106</f>
        <v>12887</v>
      </c>
    </row>
    <row r="107" spans="1:13" ht="25.5" x14ac:dyDescent="0.25">
      <c r="A107" s="38" t="s">
        <v>559</v>
      </c>
      <c r="B107" s="38" t="s">
        <v>560</v>
      </c>
      <c r="C107" s="37"/>
      <c r="D107" s="37"/>
      <c r="E107" s="37"/>
      <c r="F107" s="37"/>
      <c r="G107" s="37"/>
      <c r="H107" s="37"/>
      <c r="I107" s="37">
        <v>91065</v>
      </c>
      <c r="J107" s="37">
        <f>I107</f>
        <v>91065</v>
      </c>
      <c r="K107" s="37">
        <f>J107</f>
        <v>91065</v>
      </c>
      <c r="L107" s="37">
        <f>5000+K107</f>
        <v>96065</v>
      </c>
      <c r="M107" s="37">
        <f>L107</f>
        <v>96065</v>
      </c>
    </row>
    <row r="108" spans="1:13" x14ac:dyDescent="0.25">
      <c r="A108" s="38" t="s">
        <v>561</v>
      </c>
      <c r="B108" s="38" t="s">
        <v>562</v>
      </c>
      <c r="C108" s="37"/>
      <c r="D108" s="37"/>
      <c r="E108" s="37"/>
      <c r="F108" s="37"/>
      <c r="G108" s="37">
        <v>15858</v>
      </c>
      <c r="H108" s="37">
        <f>197114.63+G108</f>
        <v>212972.63</v>
      </c>
      <c r="I108" s="232">
        <f>658444+H108</f>
        <v>871416.63</v>
      </c>
      <c r="J108" s="232">
        <f>1020884.6+I108</f>
        <v>1892301.23</v>
      </c>
      <c r="K108" s="232">
        <f>105000+J108</f>
        <v>1997301.23</v>
      </c>
      <c r="L108" s="232">
        <f>K108</f>
        <v>1997301.23</v>
      </c>
      <c r="M108" s="269">
        <f>69121+L108</f>
        <v>2066422.23</v>
      </c>
    </row>
    <row r="109" spans="1:13" ht="25.5" x14ac:dyDescent="0.25">
      <c r="A109" s="38" t="s">
        <v>563</v>
      </c>
      <c r="B109" s="38" t="s">
        <v>564</v>
      </c>
      <c r="C109" s="37"/>
      <c r="D109" s="37"/>
      <c r="E109" s="37">
        <v>3073</v>
      </c>
      <c r="F109" s="37">
        <f>E109</f>
        <v>3073</v>
      </c>
      <c r="G109" s="37">
        <f>F109</f>
        <v>3073</v>
      </c>
      <c r="H109" s="37">
        <f>G109</f>
        <v>3073</v>
      </c>
      <c r="I109" s="37">
        <f>14220.02+H109</f>
        <v>17293.02</v>
      </c>
      <c r="J109" s="37">
        <f>222+I109</f>
        <v>17515.02</v>
      </c>
      <c r="K109" s="37">
        <f>646+J109</f>
        <v>18161.02</v>
      </c>
      <c r="L109" s="37">
        <f>K109</f>
        <v>18161.02</v>
      </c>
      <c r="M109" s="37">
        <f>510+L109</f>
        <v>18671.02</v>
      </c>
    </row>
    <row r="110" spans="1:13" ht="25.5" x14ac:dyDescent="0.25">
      <c r="A110" s="38" t="s">
        <v>565</v>
      </c>
      <c r="B110" s="38" t="s">
        <v>566</v>
      </c>
      <c r="C110" s="37"/>
      <c r="D110" s="37"/>
      <c r="E110" s="37"/>
      <c r="F110" s="37"/>
      <c r="G110" s="37"/>
      <c r="H110" s="37"/>
      <c r="I110" s="37"/>
      <c r="J110" s="37"/>
      <c r="K110" s="37"/>
      <c r="L110" s="37"/>
      <c r="M110" s="37"/>
    </row>
    <row r="111" spans="1:13" ht="25.5" x14ac:dyDescent="0.25">
      <c r="A111" s="39" t="s">
        <v>670</v>
      </c>
      <c r="B111" s="39" t="s">
        <v>671</v>
      </c>
      <c r="C111" s="37"/>
      <c r="D111" s="37"/>
      <c r="E111" s="37"/>
      <c r="F111" s="37"/>
      <c r="G111" s="37"/>
      <c r="H111" s="37"/>
      <c r="I111" s="37">
        <v>100</v>
      </c>
      <c r="J111" s="37">
        <f>I111</f>
        <v>100</v>
      </c>
      <c r="K111" s="37">
        <f t="shared" ref="K111:M111" si="5">J111</f>
        <v>100</v>
      </c>
      <c r="L111" s="37">
        <f t="shared" si="5"/>
        <v>100</v>
      </c>
      <c r="M111" s="37">
        <f t="shared" si="5"/>
        <v>100</v>
      </c>
    </row>
    <row r="112" spans="1:13" ht="38.25" x14ac:dyDescent="0.25">
      <c r="A112" s="38" t="s">
        <v>567</v>
      </c>
      <c r="B112" s="38" t="s">
        <v>568</v>
      </c>
      <c r="C112" s="37"/>
      <c r="D112" s="37"/>
      <c r="E112" s="37"/>
      <c r="F112" s="37">
        <v>725</v>
      </c>
      <c r="G112" s="37">
        <f>131+F112</f>
        <v>856</v>
      </c>
      <c r="H112" s="37">
        <f>G112</f>
        <v>856</v>
      </c>
      <c r="I112" s="37">
        <f>2833+H112</f>
        <v>3689</v>
      </c>
      <c r="J112" s="37">
        <f>1588+I112</f>
        <v>5277</v>
      </c>
      <c r="K112" s="37">
        <f>323+J112</f>
        <v>5600</v>
      </c>
      <c r="L112" s="37">
        <f t="shared" ref="L112:M115" si="6">K112</f>
        <v>5600</v>
      </c>
      <c r="M112" s="37">
        <f t="shared" si="6"/>
        <v>5600</v>
      </c>
    </row>
    <row r="113" spans="1:13" ht="38.25" x14ac:dyDescent="0.25">
      <c r="A113" s="38" t="s">
        <v>569</v>
      </c>
      <c r="B113" s="38" t="s">
        <v>570</v>
      </c>
      <c r="C113" s="37"/>
      <c r="D113" s="37"/>
      <c r="E113" s="37"/>
      <c r="F113" s="37"/>
      <c r="G113" s="37"/>
      <c r="H113" s="37"/>
      <c r="I113" s="37">
        <v>4770</v>
      </c>
      <c r="J113" s="37">
        <f>I113</f>
        <v>4770</v>
      </c>
      <c r="K113" s="37">
        <f>7852+J113</f>
        <v>12622</v>
      </c>
      <c r="L113" s="37">
        <f t="shared" si="6"/>
        <v>12622</v>
      </c>
      <c r="M113" s="37">
        <f t="shared" si="6"/>
        <v>12622</v>
      </c>
    </row>
    <row r="114" spans="1:13" ht="25.5" x14ac:dyDescent="0.25">
      <c r="A114" s="38" t="s">
        <v>571</v>
      </c>
      <c r="B114" s="38" t="s">
        <v>572</v>
      </c>
      <c r="C114" s="37"/>
      <c r="D114" s="37"/>
      <c r="E114" s="37"/>
      <c r="F114" s="37">
        <v>1012</v>
      </c>
      <c r="G114" s="37">
        <f>478+F114</f>
        <v>1490</v>
      </c>
      <c r="H114" s="37">
        <f>G114</f>
        <v>1490</v>
      </c>
      <c r="I114" s="37">
        <f>5056+H114</f>
        <v>6546</v>
      </c>
      <c r="J114" s="37">
        <f>2048+I114</f>
        <v>8594</v>
      </c>
      <c r="K114" s="37">
        <f>416+J114</f>
        <v>9010</v>
      </c>
      <c r="L114" s="37">
        <f t="shared" si="6"/>
        <v>9010</v>
      </c>
      <c r="M114" s="37">
        <f t="shared" si="6"/>
        <v>9010</v>
      </c>
    </row>
    <row r="115" spans="1:13" ht="38.25" x14ac:dyDescent="0.25">
      <c r="A115" s="38" t="s">
        <v>573</v>
      </c>
      <c r="B115" s="38" t="s">
        <v>574</v>
      </c>
      <c r="C115" s="37"/>
      <c r="D115" s="37"/>
      <c r="E115" s="37"/>
      <c r="F115" s="37"/>
      <c r="G115" s="37"/>
      <c r="H115" s="37"/>
      <c r="I115" s="37">
        <v>308999</v>
      </c>
      <c r="J115" s="37">
        <f>4361+I115</f>
        <v>313360</v>
      </c>
      <c r="K115" s="37">
        <f>3600+J115</f>
        <v>316960</v>
      </c>
      <c r="L115" s="37">
        <f t="shared" si="6"/>
        <v>316960</v>
      </c>
      <c r="M115" s="37">
        <f t="shared" si="6"/>
        <v>316960</v>
      </c>
    </row>
    <row r="116" spans="1:13" ht="25.5" x14ac:dyDescent="0.25">
      <c r="A116" s="38" t="s">
        <v>575</v>
      </c>
      <c r="B116" s="38" t="s">
        <v>576</v>
      </c>
      <c r="C116" s="37"/>
      <c r="D116" s="37"/>
      <c r="E116" s="37"/>
      <c r="F116" s="37"/>
      <c r="G116" s="37"/>
      <c r="H116" s="37"/>
      <c r="I116" s="37"/>
      <c r="J116" s="37"/>
      <c r="K116" s="37"/>
      <c r="L116" s="37"/>
      <c r="M116" s="37"/>
    </row>
    <row r="117" spans="1:13" x14ac:dyDescent="0.25">
      <c r="A117" s="38" t="s">
        <v>869</v>
      </c>
      <c r="B117" s="38" t="s">
        <v>870</v>
      </c>
      <c r="C117" s="37"/>
      <c r="D117" s="37"/>
      <c r="E117" s="37"/>
      <c r="F117" s="37"/>
      <c r="G117" s="37"/>
      <c r="H117" s="37"/>
      <c r="I117" s="37">
        <v>5</v>
      </c>
      <c r="J117" s="37">
        <v>5</v>
      </c>
      <c r="K117" s="37">
        <v>5</v>
      </c>
      <c r="L117" s="37">
        <v>5</v>
      </c>
      <c r="M117" s="37">
        <v>5</v>
      </c>
    </row>
    <row r="118" spans="1:13" ht="38.25" x14ac:dyDescent="0.25">
      <c r="A118" s="38" t="s">
        <v>577</v>
      </c>
      <c r="B118" s="38" t="s">
        <v>578</v>
      </c>
      <c r="C118" s="37"/>
      <c r="D118" s="37"/>
      <c r="E118" s="37"/>
      <c r="F118" s="37"/>
      <c r="G118" s="37"/>
      <c r="H118" s="37">
        <v>1</v>
      </c>
      <c r="I118" s="37">
        <f>5+H118</f>
        <v>6</v>
      </c>
      <c r="J118" s="37">
        <f>I118</f>
        <v>6</v>
      </c>
      <c r="K118" s="37">
        <f t="shared" ref="K118:M118" si="7">J118</f>
        <v>6</v>
      </c>
      <c r="L118" s="37">
        <f t="shared" si="7"/>
        <v>6</v>
      </c>
      <c r="M118" s="37">
        <f t="shared" si="7"/>
        <v>6</v>
      </c>
    </row>
    <row r="119" spans="1:13" ht="25.5" x14ac:dyDescent="0.25">
      <c r="A119" s="38" t="s">
        <v>579</v>
      </c>
      <c r="B119" s="38" t="s">
        <v>580</v>
      </c>
      <c r="C119" s="37"/>
      <c r="D119" s="37"/>
      <c r="E119" s="37"/>
      <c r="F119" s="37"/>
      <c r="G119" s="71"/>
      <c r="H119" s="37">
        <v>65</v>
      </c>
      <c r="I119" s="37">
        <v>65</v>
      </c>
      <c r="J119" s="37">
        <v>65</v>
      </c>
      <c r="K119" s="37">
        <v>65</v>
      </c>
      <c r="L119" s="37">
        <v>65</v>
      </c>
      <c r="M119" s="37">
        <v>65</v>
      </c>
    </row>
    <row r="120" spans="1:13" x14ac:dyDescent="0.25">
      <c r="A120" s="42" t="s">
        <v>680</v>
      </c>
      <c r="B120" s="42" t="s">
        <v>681</v>
      </c>
      <c r="C120" s="37"/>
      <c r="D120" s="37"/>
      <c r="E120" s="37"/>
      <c r="F120" s="37"/>
      <c r="G120" s="37"/>
      <c r="H120" s="37"/>
      <c r="I120" s="37"/>
      <c r="J120" s="37">
        <v>2</v>
      </c>
      <c r="K120" s="37">
        <v>2</v>
      </c>
      <c r="L120" s="37">
        <v>2</v>
      </c>
      <c r="M120" s="37">
        <v>2</v>
      </c>
    </row>
    <row r="121" spans="1:13" ht="26.25" x14ac:dyDescent="0.25">
      <c r="A121" s="42" t="s">
        <v>678</v>
      </c>
      <c r="B121" s="42" t="s">
        <v>679</v>
      </c>
      <c r="C121" s="37"/>
      <c r="D121" s="37"/>
      <c r="E121" s="37"/>
      <c r="F121" s="37"/>
      <c r="G121" s="37"/>
      <c r="H121" s="37">
        <v>4</v>
      </c>
      <c r="I121" s="37">
        <v>4</v>
      </c>
      <c r="J121" s="37">
        <v>4</v>
      </c>
      <c r="K121" s="37">
        <v>4</v>
      </c>
      <c r="L121" s="37">
        <v>4</v>
      </c>
      <c r="M121" s="37">
        <v>4</v>
      </c>
    </row>
    <row r="122" spans="1:13" x14ac:dyDescent="0.25">
      <c r="A122" s="39" t="s">
        <v>672</v>
      </c>
      <c r="B122" s="39" t="s">
        <v>673</v>
      </c>
      <c r="C122" s="37"/>
      <c r="D122" s="37"/>
      <c r="E122" s="37"/>
      <c r="F122" s="37"/>
      <c r="G122" s="37"/>
      <c r="H122" s="37">
        <v>1</v>
      </c>
      <c r="I122" s="37">
        <v>1</v>
      </c>
      <c r="J122" s="37">
        <v>1</v>
      </c>
      <c r="K122" s="37">
        <v>1</v>
      </c>
      <c r="L122" s="37">
        <v>1</v>
      </c>
      <c r="M122" s="37">
        <v>1</v>
      </c>
    </row>
    <row r="123" spans="1:13" ht="25.5" x14ac:dyDescent="0.25">
      <c r="A123" s="39" t="s">
        <v>674</v>
      </c>
      <c r="B123" s="39" t="s">
        <v>675</v>
      </c>
      <c r="C123" s="37"/>
      <c r="D123" s="37"/>
      <c r="E123" s="37"/>
      <c r="F123" s="37"/>
      <c r="G123" s="37"/>
      <c r="H123" s="37">
        <v>1</v>
      </c>
      <c r="I123" s="37">
        <v>1</v>
      </c>
      <c r="J123" s="37">
        <v>1</v>
      </c>
      <c r="K123" s="37">
        <v>1</v>
      </c>
      <c r="L123" s="37">
        <v>1</v>
      </c>
      <c r="M123" s="37">
        <v>1</v>
      </c>
    </row>
    <row r="124" spans="1:13" x14ac:dyDescent="0.25">
      <c r="A124" s="38" t="s">
        <v>581</v>
      </c>
      <c r="B124" s="38" t="s">
        <v>582</v>
      </c>
      <c r="C124" s="37"/>
      <c r="D124" s="37"/>
      <c r="E124" s="37"/>
      <c r="F124" s="37"/>
      <c r="G124" s="37">
        <v>2</v>
      </c>
      <c r="H124" s="37">
        <f>5+G124</f>
        <v>7</v>
      </c>
      <c r="I124" s="37">
        <f>4+H124</f>
        <v>11</v>
      </c>
      <c r="J124" s="37">
        <f>4+I124</f>
        <v>15</v>
      </c>
      <c r="K124" s="37">
        <f>J124</f>
        <v>15</v>
      </c>
      <c r="L124" s="37">
        <f t="shared" ref="L124:M124" si="8">K124</f>
        <v>15</v>
      </c>
      <c r="M124" s="37">
        <f t="shared" si="8"/>
        <v>15</v>
      </c>
    </row>
    <row r="125" spans="1:13" x14ac:dyDescent="0.25">
      <c r="A125" s="38" t="s">
        <v>871</v>
      </c>
      <c r="B125" s="38" t="s">
        <v>872</v>
      </c>
      <c r="C125" s="37"/>
      <c r="D125" s="37"/>
      <c r="E125" s="37"/>
      <c r="F125" s="37"/>
      <c r="G125" s="37">
        <v>2</v>
      </c>
      <c r="H125" s="37">
        <f>1+G125</f>
        <v>3</v>
      </c>
      <c r="I125" s="37">
        <f>H125</f>
        <v>3</v>
      </c>
      <c r="J125" s="37">
        <f t="shared" ref="J125:M125" si="9">I125</f>
        <v>3</v>
      </c>
      <c r="K125" s="37">
        <f t="shared" si="9"/>
        <v>3</v>
      </c>
      <c r="L125" s="37">
        <f t="shared" si="9"/>
        <v>3</v>
      </c>
      <c r="M125" s="37">
        <f t="shared" si="9"/>
        <v>3</v>
      </c>
    </row>
    <row r="126" spans="1:13" x14ac:dyDescent="0.25">
      <c r="A126" s="39" t="s">
        <v>660</v>
      </c>
      <c r="B126" s="39" t="s">
        <v>661</v>
      </c>
      <c r="C126" s="37"/>
      <c r="D126" s="37"/>
      <c r="E126" s="37"/>
      <c r="F126" s="37"/>
      <c r="G126" s="37"/>
      <c r="H126" s="37"/>
      <c r="I126" s="37">
        <v>0.5</v>
      </c>
      <c r="J126" s="37">
        <v>0.5</v>
      </c>
      <c r="K126" s="37">
        <v>0.5</v>
      </c>
      <c r="L126" s="37">
        <v>0.5</v>
      </c>
      <c r="M126" s="37">
        <v>0.5</v>
      </c>
    </row>
    <row r="127" spans="1:13" ht="25.5" x14ac:dyDescent="0.25">
      <c r="A127" s="38" t="s">
        <v>583</v>
      </c>
      <c r="B127" s="38" t="s">
        <v>584</v>
      </c>
      <c r="C127" s="37"/>
      <c r="D127" s="37"/>
      <c r="E127" s="37"/>
      <c r="F127" s="37"/>
      <c r="G127" s="37"/>
      <c r="H127" s="37"/>
      <c r="I127" s="37">
        <v>22834</v>
      </c>
      <c r="J127" s="37">
        <f>10200+I127</f>
        <v>33034</v>
      </c>
      <c r="K127" s="37">
        <f>J127</f>
        <v>33034</v>
      </c>
      <c r="L127" s="37">
        <f>5000+K127</f>
        <v>38034</v>
      </c>
      <c r="M127" s="37">
        <f>L127</f>
        <v>38034</v>
      </c>
    </row>
    <row r="128" spans="1:13" x14ac:dyDescent="0.25">
      <c r="A128" s="39" t="s">
        <v>585</v>
      </c>
      <c r="B128" s="38" t="s">
        <v>586</v>
      </c>
      <c r="C128" s="37"/>
      <c r="D128" s="37"/>
      <c r="E128" s="37"/>
      <c r="F128" s="37"/>
      <c r="G128" s="37"/>
      <c r="H128" s="37"/>
      <c r="I128" s="37"/>
      <c r="J128" s="37"/>
      <c r="K128" s="37"/>
      <c r="L128" s="37"/>
      <c r="M128" s="37"/>
    </row>
    <row r="129" spans="1:13" x14ac:dyDescent="0.25">
      <c r="A129" s="38" t="s">
        <v>587</v>
      </c>
      <c r="B129" s="38" t="s">
        <v>588</v>
      </c>
      <c r="C129" s="37"/>
      <c r="D129" s="37"/>
      <c r="E129" s="37"/>
      <c r="F129" s="37"/>
      <c r="G129" s="37"/>
      <c r="H129" s="37"/>
      <c r="I129" s="37"/>
      <c r="J129" s="72"/>
      <c r="K129" s="37"/>
      <c r="L129" s="37"/>
      <c r="M129" s="37"/>
    </row>
    <row r="130" spans="1:13" ht="51" x14ac:dyDescent="0.25">
      <c r="A130" s="38" t="s">
        <v>589</v>
      </c>
      <c r="B130" s="38" t="s">
        <v>590</v>
      </c>
      <c r="C130" s="37"/>
      <c r="D130" s="37"/>
      <c r="E130" s="37"/>
      <c r="F130" s="37"/>
      <c r="G130" s="37"/>
      <c r="H130" s="37"/>
      <c r="I130" s="37"/>
      <c r="J130" s="37"/>
      <c r="K130" s="37">
        <v>66</v>
      </c>
      <c r="L130" s="37">
        <f>388+K130</f>
        <v>454</v>
      </c>
      <c r="M130" s="37">
        <f>L130</f>
        <v>454</v>
      </c>
    </row>
    <row r="131" spans="1:13" x14ac:dyDescent="0.25">
      <c r="A131" s="39" t="s">
        <v>686</v>
      </c>
      <c r="B131" s="39" t="s">
        <v>687</v>
      </c>
      <c r="C131" s="37"/>
      <c r="D131" s="37"/>
      <c r="E131" s="37"/>
      <c r="F131" s="37"/>
      <c r="G131" s="37"/>
      <c r="H131" s="37"/>
      <c r="I131" s="37"/>
      <c r="J131" s="37"/>
      <c r="K131" s="37"/>
      <c r="L131" s="37"/>
      <c r="M131" s="37"/>
    </row>
    <row r="132" spans="1:13" ht="25.5" x14ac:dyDescent="0.25">
      <c r="A132" s="38" t="s">
        <v>591</v>
      </c>
      <c r="B132" s="38" t="s">
        <v>592</v>
      </c>
      <c r="C132" s="37"/>
      <c r="D132" s="37"/>
      <c r="E132" s="37"/>
      <c r="F132" s="37"/>
      <c r="G132" s="37"/>
      <c r="H132" s="37"/>
      <c r="I132" s="37">
        <v>5</v>
      </c>
      <c r="J132" s="37">
        <f>6+I132</f>
        <v>11</v>
      </c>
      <c r="K132" s="37">
        <f>J132</f>
        <v>11</v>
      </c>
      <c r="L132" s="37">
        <f t="shared" ref="L132:M132" si="10">K132</f>
        <v>11</v>
      </c>
      <c r="M132" s="37">
        <f t="shared" si="10"/>
        <v>11</v>
      </c>
    </row>
    <row r="133" spans="1:13" ht="25.5" x14ac:dyDescent="0.25">
      <c r="A133" s="38" t="s">
        <v>593</v>
      </c>
      <c r="B133" s="38" t="s">
        <v>594</v>
      </c>
      <c r="C133" s="37"/>
      <c r="D133" s="37"/>
      <c r="E133" s="37"/>
      <c r="F133" s="37"/>
      <c r="G133" s="37"/>
      <c r="H133" s="37"/>
      <c r="I133" s="37">
        <v>3</v>
      </c>
      <c r="J133" s="37">
        <f>9+I133</f>
        <v>12</v>
      </c>
      <c r="K133" s="37">
        <f>1+J133</f>
        <v>13</v>
      </c>
      <c r="L133" s="37">
        <f>K133</f>
        <v>13</v>
      </c>
      <c r="M133" s="37">
        <f>L133</f>
        <v>13</v>
      </c>
    </row>
    <row r="134" spans="1:13" ht="25.5" x14ac:dyDescent="0.25">
      <c r="A134" s="38" t="s">
        <v>595</v>
      </c>
      <c r="B134" s="38" t="s">
        <v>596</v>
      </c>
      <c r="C134" s="37"/>
      <c r="D134" s="37"/>
      <c r="E134" s="37"/>
      <c r="F134" s="37"/>
      <c r="G134" s="37"/>
      <c r="H134" s="37">
        <v>2</v>
      </c>
      <c r="I134" s="37">
        <f>1+H134</f>
        <v>3</v>
      </c>
      <c r="J134" s="37">
        <f>8+I134</f>
        <v>11</v>
      </c>
      <c r="K134" s="37">
        <f>J134</f>
        <v>11</v>
      </c>
      <c r="L134" s="37">
        <f t="shared" ref="L134:M134" si="11">K134</f>
        <v>11</v>
      </c>
      <c r="M134" s="37">
        <f t="shared" si="11"/>
        <v>11</v>
      </c>
    </row>
    <row r="135" spans="1:13" ht="25.5" x14ac:dyDescent="0.25">
      <c r="A135" s="39" t="s">
        <v>684</v>
      </c>
      <c r="B135" s="39" t="s">
        <v>685</v>
      </c>
      <c r="C135" s="37"/>
      <c r="D135" s="37"/>
      <c r="E135" s="37"/>
      <c r="F135" s="37"/>
      <c r="G135" s="37"/>
      <c r="H135" s="37"/>
      <c r="I135" s="37">
        <v>13</v>
      </c>
      <c r="J135" s="37">
        <f>23+I135</f>
        <v>36</v>
      </c>
      <c r="K135" s="37">
        <f>J135</f>
        <v>36</v>
      </c>
      <c r="L135" s="37">
        <f t="shared" ref="L135:M135" si="12">K135</f>
        <v>36</v>
      </c>
      <c r="M135" s="37">
        <f t="shared" si="12"/>
        <v>36</v>
      </c>
    </row>
    <row r="136" spans="1:13" x14ac:dyDescent="0.25">
      <c r="A136" s="39" t="s">
        <v>662</v>
      </c>
      <c r="B136" s="39" t="s">
        <v>663</v>
      </c>
      <c r="C136" s="37"/>
      <c r="D136" s="37"/>
      <c r="E136" s="37"/>
      <c r="F136" s="37"/>
      <c r="G136" s="37"/>
      <c r="H136" s="37"/>
      <c r="I136" s="37">
        <v>274</v>
      </c>
      <c r="J136" s="37">
        <f>1073+I136</f>
        <v>1347</v>
      </c>
      <c r="K136" s="37">
        <f>J136</f>
        <v>1347</v>
      </c>
      <c r="L136" s="37">
        <f t="shared" ref="L136:M137" si="13">K136</f>
        <v>1347</v>
      </c>
      <c r="M136" s="37">
        <f t="shared" si="13"/>
        <v>1347</v>
      </c>
    </row>
    <row r="137" spans="1:13" x14ac:dyDescent="0.25">
      <c r="A137" s="39" t="s">
        <v>664</v>
      </c>
      <c r="B137" s="39" t="s">
        <v>665</v>
      </c>
      <c r="C137" s="37"/>
      <c r="D137" s="37"/>
      <c r="E137" s="37"/>
      <c r="F137" s="37"/>
      <c r="G137" s="37"/>
      <c r="H137" s="37"/>
      <c r="I137" s="37"/>
      <c r="J137" s="37">
        <v>2</v>
      </c>
      <c r="K137" s="37">
        <f>1+J137</f>
        <v>3</v>
      </c>
      <c r="L137" s="37">
        <f>K137</f>
        <v>3</v>
      </c>
      <c r="M137" s="37">
        <f t="shared" si="13"/>
        <v>3</v>
      </c>
    </row>
    <row r="138" spans="1:13" ht="38.25" x14ac:dyDescent="0.25">
      <c r="A138" s="38" t="s">
        <v>597</v>
      </c>
      <c r="B138" s="38" t="s">
        <v>598</v>
      </c>
      <c r="C138" s="37"/>
      <c r="D138" s="37"/>
      <c r="E138" s="37"/>
      <c r="F138" s="37"/>
      <c r="G138" s="37"/>
      <c r="H138" s="37"/>
      <c r="I138" s="37"/>
      <c r="J138" s="37"/>
      <c r="K138" s="37"/>
      <c r="L138" s="37"/>
      <c r="M138" s="37"/>
    </row>
    <row r="139" spans="1:13" ht="25.5" x14ac:dyDescent="0.25">
      <c r="A139" s="39" t="s">
        <v>689</v>
      </c>
      <c r="B139" s="39" t="s">
        <v>658</v>
      </c>
      <c r="C139" s="37"/>
      <c r="D139" s="37"/>
      <c r="E139" s="37"/>
      <c r="F139" s="37"/>
      <c r="G139" s="37"/>
      <c r="H139" s="37"/>
      <c r="I139" s="37"/>
      <c r="J139" s="37">
        <v>2</v>
      </c>
      <c r="K139" s="37">
        <v>2</v>
      </c>
      <c r="L139" s="37">
        <v>2</v>
      </c>
      <c r="M139" s="37">
        <v>2</v>
      </c>
    </row>
    <row r="140" spans="1:13" x14ac:dyDescent="0.25">
      <c r="A140" s="43" t="s">
        <v>650</v>
      </c>
      <c r="B140" s="42" t="s">
        <v>651</v>
      </c>
      <c r="C140" s="37"/>
      <c r="D140" s="37"/>
      <c r="E140" s="37"/>
      <c r="F140" s="37"/>
      <c r="G140" s="37"/>
      <c r="H140" s="37"/>
      <c r="I140" s="37"/>
      <c r="J140" s="37">
        <v>2</v>
      </c>
      <c r="K140" s="37">
        <v>2</v>
      </c>
      <c r="L140" s="37">
        <v>2</v>
      </c>
      <c r="M140" s="37">
        <v>2</v>
      </c>
    </row>
    <row r="141" spans="1:13" ht="25.5" x14ac:dyDescent="0.25">
      <c r="A141" s="38" t="s">
        <v>599</v>
      </c>
      <c r="B141" s="38" t="s">
        <v>600</v>
      </c>
      <c r="C141" s="37"/>
      <c r="D141" s="37"/>
      <c r="E141" s="37"/>
      <c r="F141" s="37"/>
      <c r="G141" s="37"/>
      <c r="H141" s="37">
        <v>11.399999999999999</v>
      </c>
      <c r="I141" s="37">
        <f>H141</f>
        <v>11.399999999999999</v>
      </c>
      <c r="J141" s="37">
        <f>8.77+I141</f>
        <v>20.169999999999998</v>
      </c>
      <c r="K141" s="37">
        <f>J141</f>
        <v>20.169999999999998</v>
      </c>
      <c r="L141" s="37">
        <f t="shared" ref="L141:M141" si="14">K141</f>
        <v>20.169999999999998</v>
      </c>
      <c r="M141" s="37">
        <f t="shared" si="14"/>
        <v>20.169999999999998</v>
      </c>
    </row>
    <row r="142" spans="1:13" ht="25.5" x14ac:dyDescent="0.25">
      <c r="A142" s="38" t="s">
        <v>601</v>
      </c>
      <c r="B142" s="38" t="s">
        <v>602</v>
      </c>
      <c r="C142" s="37"/>
      <c r="D142" s="37"/>
      <c r="E142" s="37"/>
      <c r="F142" s="37"/>
      <c r="G142" s="37"/>
      <c r="H142" s="37"/>
      <c r="I142" s="37"/>
      <c r="J142" s="37">
        <v>1.5980000000000001</v>
      </c>
      <c r="K142" s="37">
        <v>1.5980000000000001</v>
      </c>
      <c r="L142" s="37">
        <v>1.5980000000000001</v>
      </c>
      <c r="M142" s="37">
        <v>1.5980000000000001</v>
      </c>
    </row>
    <row r="143" spans="1:13" x14ac:dyDescent="0.25">
      <c r="A143" s="38" t="s">
        <v>603</v>
      </c>
      <c r="B143" s="38" t="s">
        <v>604</v>
      </c>
      <c r="C143" s="37"/>
      <c r="D143" s="37"/>
      <c r="E143" s="37"/>
      <c r="F143" s="37"/>
      <c r="G143" s="37"/>
      <c r="H143" s="37"/>
      <c r="I143" s="37">
        <v>10</v>
      </c>
      <c r="J143" s="37">
        <f>3+I143</f>
        <v>13</v>
      </c>
      <c r="K143" s="37">
        <f>J143</f>
        <v>13</v>
      </c>
      <c r="L143" s="37">
        <f t="shared" ref="L143:M143" si="15">K143</f>
        <v>13</v>
      </c>
      <c r="M143" s="37">
        <f t="shared" si="15"/>
        <v>13</v>
      </c>
    </row>
    <row r="144" spans="1:13" x14ac:dyDescent="0.25">
      <c r="A144" s="38" t="s">
        <v>688</v>
      </c>
      <c r="B144" s="38" t="s">
        <v>873</v>
      </c>
      <c r="C144" s="37"/>
      <c r="D144" s="37"/>
      <c r="E144" s="37"/>
      <c r="F144" s="37"/>
      <c r="G144" s="37"/>
      <c r="H144" s="37"/>
      <c r="I144" s="37"/>
      <c r="J144" s="37"/>
      <c r="K144" s="37"/>
      <c r="L144" s="37"/>
      <c r="M144" s="37"/>
    </row>
    <row r="145" spans="1:13" ht="25.5" x14ac:dyDescent="0.25">
      <c r="A145" s="38" t="s">
        <v>605</v>
      </c>
      <c r="B145" s="38" t="s">
        <v>606</v>
      </c>
      <c r="C145" s="37"/>
      <c r="D145" s="37"/>
      <c r="E145" s="37"/>
      <c r="F145" s="37"/>
      <c r="G145" s="37"/>
      <c r="H145" s="37">
        <v>24</v>
      </c>
      <c r="I145" s="37">
        <f>H145</f>
        <v>24</v>
      </c>
      <c r="J145" s="37">
        <f>2+I145</f>
        <v>26</v>
      </c>
      <c r="K145" s="37">
        <f>4+J145</f>
        <v>30</v>
      </c>
      <c r="L145" s="37">
        <f>K145</f>
        <v>30</v>
      </c>
      <c r="M145" s="37">
        <f>L145</f>
        <v>30</v>
      </c>
    </row>
    <row r="146" spans="1:13" ht="38.25" x14ac:dyDescent="0.25">
      <c r="A146" s="38" t="s">
        <v>607</v>
      </c>
      <c r="B146" s="38" t="s">
        <v>608</v>
      </c>
      <c r="C146" s="37"/>
      <c r="D146" s="37"/>
      <c r="E146" s="37"/>
      <c r="F146" s="37"/>
      <c r="G146" s="37"/>
      <c r="H146" s="37"/>
      <c r="I146" s="37">
        <v>928.85</v>
      </c>
      <c r="J146" s="37">
        <f>228.22+I146</f>
        <v>1157.07</v>
      </c>
      <c r="K146" s="37">
        <f>J146</f>
        <v>1157.07</v>
      </c>
      <c r="L146" s="37">
        <f t="shared" ref="L146:M146" si="16">K146</f>
        <v>1157.07</v>
      </c>
      <c r="M146" s="37">
        <f t="shared" si="16"/>
        <v>1157.07</v>
      </c>
    </row>
    <row r="147" spans="1:13" ht="25.5" x14ac:dyDescent="0.25">
      <c r="A147" s="39" t="s">
        <v>609</v>
      </c>
      <c r="B147" s="38" t="s">
        <v>610</v>
      </c>
      <c r="C147" s="37"/>
      <c r="D147" s="37"/>
      <c r="E147" s="37"/>
      <c r="F147" s="37"/>
      <c r="G147" s="37"/>
      <c r="H147" s="37">
        <v>30029.1</v>
      </c>
      <c r="I147" s="37">
        <f>1600+H147</f>
        <v>31629.1</v>
      </c>
      <c r="J147" s="37">
        <f>I147</f>
        <v>31629.1</v>
      </c>
      <c r="K147" s="37">
        <f t="shared" ref="K147:M148" si="17">J147</f>
        <v>31629.1</v>
      </c>
      <c r="L147" s="37">
        <f t="shared" si="17"/>
        <v>31629.1</v>
      </c>
      <c r="M147" s="37">
        <f t="shared" si="17"/>
        <v>31629.1</v>
      </c>
    </row>
    <row r="148" spans="1:13" ht="25.5" x14ac:dyDescent="0.25">
      <c r="A148" s="38" t="s">
        <v>611</v>
      </c>
      <c r="B148" s="38" t="s">
        <v>612</v>
      </c>
      <c r="C148" s="37"/>
      <c r="D148" s="37"/>
      <c r="E148" s="37"/>
      <c r="F148" s="37"/>
      <c r="G148" s="37">
        <v>0.65</v>
      </c>
      <c r="H148" s="37">
        <f>G148</f>
        <v>0.65</v>
      </c>
      <c r="I148" s="37">
        <f>52.932+H148</f>
        <v>53.582000000000001</v>
      </c>
      <c r="J148" s="37">
        <f>7.62+I148</f>
        <v>61.201999999999998</v>
      </c>
      <c r="K148" s="37">
        <f>9.837+J148</f>
        <v>71.039000000000001</v>
      </c>
      <c r="L148" s="37">
        <f>K148</f>
        <v>71.039000000000001</v>
      </c>
      <c r="M148" s="268">
        <f t="shared" si="17"/>
        <v>71.039000000000001</v>
      </c>
    </row>
    <row r="149" spans="1:13" ht="25.5" x14ac:dyDescent="0.25">
      <c r="A149" s="38" t="s">
        <v>613</v>
      </c>
      <c r="B149" s="38" t="s">
        <v>614</v>
      </c>
      <c r="C149" s="37"/>
      <c r="D149" s="37"/>
      <c r="E149" s="37"/>
      <c r="F149" s="37"/>
      <c r="G149" s="37"/>
      <c r="H149" s="37"/>
      <c r="I149" s="37">
        <v>6</v>
      </c>
      <c r="J149" s="37">
        <f>1+I149</f>
        <v>7</v>
      </c>
      <c r="K149" s="37">
        <f>J149</f>
        <v>7</v>
      </c>
      <c r="L149" s="37">
        <f t="shared" ref="L149:M149" si="18">K149</f>
        <v>7</v>
      </c>
      <c r="M149" s="37">
        <f t="shared" si="18"/>
        <v>7</v>
      </c>
    </row>
    <row r="150" spans="1:13" ht="25.5" x14ac:dyDescent="0.25">
      <c r="A150" s="38" t="s">
        <v>874</v>
      </c>
      <c r="B150" s="38" t="s">
        <v>875</v>
      </c>
      <c r="C150" s="37"/>
      <c r="D150" s="37"/>
      <c r="E150" s="37"/>
      <c r="F150" s="37"/>
      <c r="G150" s="37"/>
      <c r="H150" s="37"/>
      <c r="I150" s="37">
        <v>1</v>
      </c>
      <c r="J150" s="37">
        <v>1</v>
      </c>
      <c r="K150" s="37">
        <v>1</v>
      </c>
      <c r="L150" s="37">
        <v>1</v>
      </c>
      <c r="M150" s="37">
        <v>1</v>
      </c>
    </row>
    <row r="151" spans="1:13" ht="25.5" x14ac:dyDescent="0.25">
      <c r="A151" s="38" t="s">
        <v>615</v>
      </c>
      <c r="B151" s="38" t="s">
        <v>616</v>
      </c>
      <c r="C151" s="37"/>
      <c r="D151" s="37"/>
      <c r="E151" s="37"/>
      <c r="F151" s="37"/>
      <c r="G151" s="37"/>
      <c r="H151" s="37">
        <v>2</v>
      </c>
      <c r="I151" s="37">
        <f>2+H151</f>
        <v>4</v>
      </c>
      <c r="J151" s="37">
        <f>I151</f>
        <v>4</v>
      </c>
      <c r="K151" s="37">
        <f>J151</f>
        <v>4</v>
      </c>
      <c r="L151" s="37">
        <f>K151</f>
        <v>4</v>
      </c>
      <c r="M151" s="37">
        <f>1+L151</f>
        <v>5</v>
      </c>
    </row>
    <row r="152" spans="1:13" x14ac:dyDescent="0.25">
      <c r="A152" s="43" t="s">
        <v>646</v>
      </c>
      <c r="B152" s="42" t="s">
        <v>647</v>
      </c>
      <c r="C152" s="37"/>
      <c r="D152" s="37"/>
      <c r="E152" s="37"/>
      <c r="F152" s="37"/>
      <c r="G152" s="37"/>
      <c r="H152" s="37">
        <v>9</v>
      </c>
      <c r="I152" s="37">
        <v>9</v>
      </c>
      <c r="J152" s="37">
        <v>9</v>
      </c>
      <c r="K152" s="37">
        <v>9</v>
      </c>
      <c r="L152" s="37">
        <v>9</v>
      </c>
      <c r="M152" s="37">
        <v>9</v>
      </c>
    </row>
    <row r="153" spans="1:13" ht="25.5" x14ac:dyDescent="0.25">
      <c r="A153" s="40" t="s">
        <v>617</v>
      </c>
      <c r="B153" s="41" t="s">
        <v>618</v>
      </c>
      <c r="C153" s="37"/>
      <c r="D153" s="37"/>
      <c r="E153" s="37"/>
      <c r="F153" s="37"/>
      <c r="G153" s="37">
        <v>17</v>
      </c>
      <c r="H153" s="37">
        <f>11+G153</f>
        <v>28</v>
      </c>
      <c r="I153" s="37">
        <f>3+H153</f>
        <v>31</v>
      </c>
      <c r="J153" s="37">
        <f>8+I153</f>
        <v>39</v>
      </c>
      <c r="K153" s="37">
        <f>1+J153</f>
        <v>40</v>
      </c>
      <c r="L153" s="37">
        <f>K153</f>
        <v>40</v>
      </c>
      <c r="M153" s="37">
        <f>2+L153</f>
        <v>42</v>
      </c>
    </row>
    <row r="154" spans="1:13" ht="25.5" x14ac:dyDescent="0.25">
      <c r="A154" s="38" t="s">
        <v>619</v>
      </c>
      <c r="B154" s="38" t="s">
        <v>620</v>
      </c>
      <c r="C154" s="37"/>
      <c r="D154" s="37"/>
      <c r="E154" s="37"/>
      <c r="F154" s="37"/>
      <c r="G154" s="37"/>
      <c r="H154" s="37"/>
      <c r="I154" s="37">
        <v>5</v>
      </c>
      <c r="J154" s="37">
        <f>1+I154</f>
        <v>6</v>
      </c>
      <c r="K154" s="37">
        <f>3+J154</f>
        <v>9</v>
      </c>
      <c r="L154" s="37">
        <f>K154</f>
        <v>9</v>
      </c>
      <c r="M154" s="37">
        <f>L154</f>
        <v>9</v>
      </c>
    </row>
    <row r="155" spans="1:13" x14ac:dyDescent="0.25">
      <c r="A155" s="38" t="s">
        <v>621</v>
      </c>
      <c r="B155" s="38" t="s">
        <v>622</v>
      </c>
      <c r="C155" s="37"/>
      <c r="D155" s="37"/>
      <c r="E155" s="37"/>
      <c r="F155" s="37"/>
      <c r="G155" s="37">
        <v>3</v>
      </c>
      <c r="H155" s="37">
        <f>210+G155</f>
        <v>213</v>
      </c>
      <c r="I155" s="37">
        <f>41+H155</f>
        <v>254</v>
      </c>
      <c r="J155" s="37">
        <f>40+I155</f>
        <v>294</v>
      </c>
      <c r="K155" s="37">
        <f>J155</f>
        <v>294</v>
      </c>
      <c r="L155" s="37">
        <f>80+K155</f>
        <v>374</v>
      </c>
      <c r="M155" s="37">
        <f>L155</f>
        <v>374</v>
      </c>
    </row>
    <row r="156" spans="1:13" ht="39" x14ac:dyDescent="0.25">
      <c r="A156" s="39" t="s">
        <v>644</v>
      </c>
      <c r="B156" s="42" t="s">
        <v>645</v>
      </c>
      <c r="C156" s="37"/>
      <c r="D156" s="37"/>
      <c r="E156" s="37"/>
      <c r="F156" s="37"/>
      <c r="G156" s="37"/>
      <c r="H156" s="37"/>
      <c r="I156" s="37">
        <v>2</v>
      </c>
      <c r="J156" s="37">
        <v>2</v>
      </c>
      <c r="K156" s="37">
        <v>2</v>
      </c>
      <c r="L156" s="37">
        <v>2</v>
      </c>
      <c r="M156" s="37">
        <v>2</v>
      </c>
    </row>
    <row r="157" spans="1:13" ht="28.5" x14ac:dyDescent="0.25">
      <c r="A157" s="38" t="s">
        <v>623</v>
      </c>
      <c r="B157" s="38" t="s">
        <v>624</v>
      </c>
      <c r="C157" s="37"/>
      <c r="D157" s="37"/>
      <c r="E157" s="37"/>
      <c r="F157" s="37"/>
      <c r="G157" s="37"/>
      <c r="H157" s="37"/>
      <c r="I157" s="37">
        <v>129014</v>
      </c>
      <c r="J157" s="72">
        <f>143675.5+I157</f>
        <v>272689.5</v>
      </c>
      <c r="K157" s="72">
        <f>40000+J157</f>
        <v>312689.5</v>
      </c>
      <c r="L157" s="72">
        <f>3938+K157</f>
        <v>316627.5</v>
      </c>
      <c r="M157" s="72">
        <f>L157</f>
        <v>316627.5</v>
      </c>
    </row>
    <row r="158" spans="1:13" ht="38.25" x14ac:dyDescent="0.25">
      <c r="A158" s="38" t="s">
        <v>625</v>
      </c>
      <c r="B158" s="38" t="s">
        <v>626</v>
      </c>
      <c r="C158" s="37"/>
      <c r="D158" s="37"/>
      <c r="E158" s="37"/>
      <c r="F158" s="37"/>
      <c r="G158" s="37"/>
      <c r="H158" s="37"/>
      <c r="I158" s="37"/>
      <c r="J158" s="37">
        <v>255.37</v>
      </c>
      <c r="K158" s="37">
        <v>255.37</v>
      </c>
      <c r="L158" s="37">
        <v>255.37</v>
      </c>
      <c r="M158" s="37">
        <v>255.37</v>
      </c>
    </row>
    <row r="159" spans="1:13" ht="51" x14ac:dyDescent="0.25">
      <c r="A159" s="38" t="s">
        <v>627</v>
      </c>
      <c r="B159" s="38" t="s">
        <v>628</v>
      </c>
      <c r="C159" s="37"/>
      <c r="D159" s="83"/>
      <c r="E159" s="83"/>
      <c r="F159" s="83"/>
      <c r="G159" s="83"/>
      <c r="H159" s="83"/>
      <c r="I159" s="83"/>
      <c r="J159" s="83"/>
      <c r="K159" s="37"/>
      <c r="L159" s="37"/>
      <c r="M159" s="37"/>
    </row>
    <row r="160" spans="1:13" ht="39" x14ac:dyDescent="0.25">
      <c r="A160" s="39" t="s">
        <v>642</v>
      </c>
      <c r="B160" s="42" t="s">
        <v>643</v>
      </c>
      <c r="C160" s="37"/>
      <c r="D160" s="83"/>
      <c r="E160" s="83"/>
      <c r="F160" s="83"/>
      <c r="G160" s="83"/>
      <c r="H160" s="83"/>
      <c r="I160" s="83"/>
      <c r="J160" s="83">
        <v>7383</v>
      </c>
      <c r="K160" s="37">
        <f>4775+J160</f>
        <v>12158</v>
      </c>
      <c r="L160" s="37">
        <f>2388+K160</f>
        <v>14546</v>
      </c>
      <c r="M160" s="37">
        <f>L160</f>
        <v>14546</v>
      </c>
    </row>
    <row r="161" spans="1:13" ht="38.25" x14ac:dyDescent="0.25">
      <c r="A161" s="38" t="s">
        <v>629</v>
      </c>
      <c r="B161" s="38" t="s">
        <v>630</v>
      </c>
      <c r="C161" s="37"/>
      <c r="D161" s="83"/>
      <c r="E161" s="83"/>
      <c r="F161" s="83"/>
      <c r="G161" s="83"/>
      <c r="H161" s="83">
        <v>2</v>
      </c>
      <c r="I161" s="83">
        <f>2+H161</f>
        <v>4</v>
      </c>
      <c r="J161" s="83">
        <f>4+I161</f>
        <v>8</v>
      </c>
      <c r="K161" s="37">
        <f>J161</f>
        <v>8</v>
      </c>
      <c r="L161" s="37">
        <f t="shared" ref="L161:M161" si="19">K161</f>
        <v>8</v>
      </c>
      <c r="M161" s="37">
        <f t="shared" si="19"/>
        <v>8</v>
      </c>
    </row>
    <row r="162" spans="1:13" ht="25.5" x14ac:dyDescent="0.25">
      <c r="A162" s="39" t="s">
        <v>682</v>
      </c>
      <c r="B162" s="39" t="s">
        <v>683</v>
      </c>
      <c r="C162" s="37"/>
      <c r="D162" s="83"/>
      <c r="E162" s="83"/>
      <c r="F162" s="83"/>
      <c r="G162" s="83"/>
      <c r="H162" s="83"/>
      <c r="I162" s="83">
        <v>180</v>
      </c>
      <c r="J162" s="83">
        <f>238+I162</f>
        <v>418</v>
      </c>
      <c r="K162" s="37">
        <f>J162</f>
        <v>418</v>
      </c>
      <c r="L162" s="37">
        <f t="shared" ref="L162:M162" si="20">K162</f>
        <v>418</v>
      </c>
      <c r="M162" s="268">
        <f t="shared" si="20"/>
        <v>418</v>
      </c>
    </row>
    <row r="163" spans="1:13" ht="36" x14ac:dyDescent="0.25">
      <c r="A163" s="87" t="s">
        <v>631</v>
      </c>
      <c r="B163" s="88" t="s">
        <v>632</v>
      </c>
      <c r="C163" s="37"/>
      <c r="D163" s="83"/>
      <c r="E163" s="83"/>
      <c r="F163" s="83"/>
      <c r="G163" s="83"/>
      <c r="H163" s="83">
        <v>2</v>
      </c>
      <c r="I163" s="83">
        <f>H163</f>
        <v>2</v>
      </c>
      <c r="J163" s="83">
        <f>5+I163</f>
        <v>7</v>
      </c>
      <c r="K163" s="37">
        <f>19+J163</f>
        <v>26</v>
      </c>
      <c r="L163" s="37">
        <f>K163</f>
        <v>26</v>
      </c>
      <c r="M163" s="37">
        <f>L163</f>
        <v>26</v>
      </c>
    </row>
    <row r="164" spans="1:13" ht="51" x14ac:dyDescent="0.25">
      <c r="A164" s="38" t="s">
        <v>633</v>
      </c>
      <c r="B164" s="38" t="s">
        <v>634</v>
      </c>
      <c r="C164" s="37"/>
      <c r="D164" s="83"/>
      <c r="E164" s="83"/>
      <c r="F164" s="83"/>
      <c r="G164" s="83"/>
      <c r="H164" s="83">
        <v>30</v>
      </c>
      <c r="I164" s="83">
        <f>H164</f>
        <v>30</v>
      </c>
      <c r="J164" s="83">
        <f>125+I164</f>
        <v>155</v>
      </c>
      <c r="K164" s="37">
        <f>23+J164</f>
        <v>178</v>
      </c>
      <c r="L164" s="37">
        <f>K164</f>
        <v>178</v>
      </c>
      <c r="M164" s="37">
        <f>L164</f>
        <v>178</v>
      </c>
    </row>
    <row r="165" spans="1:13" ht="25.5" x14ac:dyDescent="0.25">
      <c r="A165" s="38" t="s">
        <v>636</v>
      </c>
      <c r="B165" s="38" t="s">
        <v>637</v>
      </c>
      <c r="C165" s="37"/>
      <c r="D165" s="83"/>
      <c r="E165" s="83"/>
      <c r="F165" s="83"/>
      <c r="G165" s="83"/>
      <c r="H165" s="83">
        <v>140.91</v>
      </c>
      <c r="I165" s="83">
        <f>7.9+H165</f>
        <v>148.81</v>
      </c>
      <c r="J165" s="83">
        <f>1.86+I165</f>
        <v>150.67000000000002</v>
      </c>
      <c r="K165" s="37">
        <f>J165</f>
        <v>150.67000000000002</v>
      </c>
      <c r="L165" s="37">
        <f>K165</f>
        <v>150.67000000000002</v>
      </c>
      <c r="M165" s="37">
        <f>2+L165</f>
        <v>152.67000000000002</v>
      </c>
    </row>
    <row r="166" spans="1:13" ht="25.5" x14ac:dyDescent="0.25">
      <c r="A166" s="38" t="s">
        <v>638</v>
      </c>
      <c r="B166" s="38" t="s">
        <v>639</v>
      </c>
      <c r="C166" s="37"/>
      <c r="D166" s="83"/>
      <c r="E166" s="83"/>
      <c r="F166" s="83"/>
      <c r="G166" s="83"/>
      <c r="H166" s="83"/>
      <c r="I166" s="83">
        <v>229</v>
      </c>
      <c r="J166" s="83">
        <f>118+I166</f>
        <v>347</v>
      </c>
      <c r="K166" s="37">
        <f>131+J166</f>
        <v>478</v>
      </c>
      <c r="L166" s="37">
        <f>K166</f>
        <v>478</v>
      </c>
      <c r="M166" s="37">
        <f>L166</f>
        <v>478</v>
      </c>
    </row>
    <row r="167" spans="1:13" ht="25.5" x14ac:dyDescent="0.25">
      <c r="A167" s="39" t="s">
        <v>668</v>
      </c>
      <c r="B167" s="39" t="s">
        <v>669</v>
      </c>
      <c r="C167" s="37"/>
      <c r="D167" s="83"/>
      <c r="E167" s="83"/>
      <c r="F167" s="83"/>
      <c r="G167" s="83"/>
      <c r="H167" s="83"/>
      <c r="I167" s="83">
        <v>153</v>
      </c>
      <c r="J167" s="83">
        <f>78+I167</f>
        <v>231</v>
      </c>
      <c r="K167" s="37">
        <f>68+J167</f>
        <v>299</v>
      </c>
      <c r="L167" s="37">
        <f>K167</f>
        <v>299</v>
      </c>
      <c r="M167" s="37">
        <f>L167</f>
        <v>299</v>
      </c>
    </row>
    <row r="168" spans="1:13" ht="25.5" x14ac:dyDescent="0.25">
      <c r="A168" s="38" t="s">
        <v>635</v>
      </c>
      <c r="B168" s="38" t="s">
        <v>876</v>
      </c>
      <c r="C168" s="37"/>
      <c r="D168" s="83"/>
      <c r="E168" s="83"/>
      <c r="F168" s="83"/>
      <c r="G168" s="83"/>
      <c r="H168" s="83"/>
      <c r="I168" s="83"/>
      <c r="J168" s="83"/>
      <c r="K168" s="37"/>
      <c r="L168" s="37"/>
      <c r="M168" s="37"/>
    </row>
    <row r="169" spans="1:13" ht="38.25" x14ac:dyDescent="0.25">
      <c r="A169" s="39" t="s">
        <v>666</v>
      </c>
      <c r="B169" s="39" t="s">
        <v>667</v>
      </c>
      <c r="C169" s="37"/>
      <c r="D169" s="83"/>
      <c r="E169" s="83"/>
      <c r="F169" s="83"/>
      <c r="G169" s="83"/>
      <c r="H169" s="83"/>
      <c r="I169" s="83"/>
      <c r="J169" s="83"/>
      <c r="K169" s="37"/>
      <c r="L169" s="37"/>
      <c r="M169" s="37"/>
    </row>
    <row r="170" spans="1:13" ht="25.5" x14ac:dyDescent="0.25">
      <c r="A170" s="39" t="s">
        <v>703</v>
      </c>
      <c r="B170" s="39" t="s">
        <v>659</v>
      </c>
      <c r="C170" s="37"/>
      <c r="D170" s="83"/>
      <c r="E170" s="83"/>
      <c r="F170" s="83"/>
      <c r="G170" s="83">
        <v>7.9899999999999999E-2</v>
      </c>
      <c r="H170" s="83">
        <f>0.004582187+G170</f>
        <v>8.4482187E-2</v>
      </c>
      <c r="I170" s="83">
        <f>0.025831829+H170</f>
        <v>0.110314016</v>
      </c>
      <c r="J170" s="83">
        <f>0.935766732+I170</f>
        <v>1.0460807480000001</v>
      </c>
      <c r="K170" s="37">
        <f>J170</f>
        <v>1.0460807480000001</v>
      </c>
      <c r="L170" s="37">
        <f>K170</f>
        <v>1.0460807480000001</v>
      </c>
      <c r="M170" s="268">
        <f>L170+0.000185096</f>
        <v>1.0462658440000001</v>
      </c>
    </row>
    <row r="171" spans="1:13" x14ac:dyDescent="0.25">
      <c r="A171" s="39" t="s">
        <v>877</v>
      </c>
      <c r="B171" s="39" t="s">
        <v>700</v>
      </c>
      <c r="C171" s="37"/>
      <c r="D171" s="83"/>
      <c r="E171" s="83"/>
      <c r="F171" s="83"/>
      <c r="G171" s="83">
        <v>1</v>
      </c>
      <c r="H171" s="83">
        <f>G171</f>
        <v>1</v>
      </c>
      <c r="I171" s="83">
        <f>H171</f>
        <v>1</v>
      </c>
      <c r="J171" s="83">
        <f>I171+1</f>
        <v>2</v>
      </c>
      <c r="K171" s="37">
        <f>J171</f>
        <v>2</v>
      </c>
      <c r="L171" s="37">
        <f t="shared" ref="L171:M171" si="21">K171</f>
        <v>2</v>
      </c>
      <c r="M171" s="37">
        <f t="shared" si="21"/>
        <v>2</v>
      </c>
    </row>
    <row r="172" spans="1:13" x14ac:dyDescent="0.25">
      <c r="A172" s="39" t="s">
        <v>878</v>
      </c>
      <c r="B172" s="39" t="s">
        <v>699</v>
      </c>
      <c r="C172" s="37"/>
      <c r="D172" s="83"/>
      <c r="E172" s="83"/>
      <c r="F172" s="83"/>
      <c r="G172" s="83"/>
      <c r="H172" s="83"/>
      <c r="I172" s="83"/>
      <c r="J172" s="83">
        <v>1</v>
      </c>
      <c r="K172" s="83">
        <v>1</v>
      </c>
      <c r="L172" s="83">
        <v>1</v>
      </c>
      <c r="M172" s="83">
        <v>1</v>
      </c>
    </row>
    <row r="173" spans="1:13" x14ac:dyDescent="0.25">
      <c r="A173" s="39" t="s">
        <v>879</v>
      </c>
      <c r="B173" s="39" t="s">
        <v>698</v>
      </c>
      <c r="C173" s="37"/>
      <c r="D173" s="83"/>
      <c r="E173" s="83"/>
      <c r="F173" s="83"/>
      <c r="G173" s="83"/>
      <c r="H173" s="83"/>
      <c r="I173" s="83"/>
      <c r="J173" s="83">
        <v>1</v>
      </c>
      <c r="K173" s="83">
        <v>1</v>
      </c>
      <c r="L173" s="83">
        <v>1</v>
      </c>
      <c r="M173" s="83">
        <v>1</v>
      </c>
    </row>
    <row r="174" spans="1:13" x14ac:dyDescent="0.25">
      <c r="A174" s="39" t="s">
        <v>880</v>
      </c>
      <c r="B174" s="39" t="s">
        <v>697</v>
      </c>
      <c r="C174" s="37"/>
      <c r="D174" s="83"/>
      <c r="E174" s="83"/>
      <c r="F174" s="83"/>
      <c r="G174" s="83"/>
      <c r="H174" s="83">
        <v>1</v>
      </c>
      <c r="I174" s="83">
        <v>1</v>
      </c>
      <c r="J174" s="83">
        <v>1</v>
      </c>
      <c r="K174" s="83">
        <v>1</v>
      </c>
      <c r="L174" s="83">
        <v>1</v>
      </c>
      <c r="M174" s="83">
        <v>1</v>
      </c>
    </row>
    <row r="175" spans="1:13" x14ac:dyDescent="0.25">
      <c r="A175" s="39" t="s">
        <v>881</v>
      </c>
      <c r="B175" s="39" t="s">
        <v>696</v>
      </c>
      <c r="C175" s="37"/>
      <c r="D175" s="83"/>
      <c r="E175" s="83"/>
      <c r="F175" s="83"/>
      <c r="G175" s="83"/>
      <c r="H175" s="83">
        <v>1</v>
      </c>
      <c r="I175" s="83">
        <v>1</v>
      </c>
      <c r="J175" s="83">
        <v>1</v>
      </c>
      <c r="K175" s="83">
        <v>1</v>
      </c>
      <c r="L175" s="83">
        <v>1</v>
      </c>
      <c r="M175" s="83">
        <v>1</v>
      </c>
    </row>
    <row r="176" spans="1:13" x14ac:dyDescent="0.25">
      <c r="A176" s="39" t="s">
        <v>882</v>
      </c>
      <c r="B176" s="39" t="s">
        <v>695</v>
      </c>
      <c r="C176" s="37"/>
      <c r="D176" s="83"/>
      <c r="E176" s="83"/>
      <c r="F176" s="83"/>
      <c r="G176" s="83">
        <v>1</v>
      </c>
      <c r="H176" s="83">
        <v>1</v>
      </c>
      <c r="I176" s="83">
        <v>1</v>
      </c>
      <c r="J176" s="83">
        <v>1</v>
      </c>
      <c r="K176" s="83">
        <v>1</v>
      </c>
      <c r="L176" s="83">
        <v>1</v>
      </c>
      <c r="M176" s="83">
        <v>1</v>
      </c>
    </row>
  </sheetData>
  <mergeCells count="5">
    <mergeCell ref="A6:J6"/>
    <mergeCell ref="K6:M6"/>
    <mergeCell ref="J1:M1"/>
    <mergeCell ref="J2:M2"/>
    <mergeCell ref="J3:M3"/>
  </mergeCells>
  <pageMargins left="0.7" right="0.7" top="0.75" bottom="0.75" header="0.3" footer="0.3"/>
  <pageSetup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595"/>
  <sheetViews>
    <sheetView workbookViewId="0">
      <selection activeCell="J37" sqref="J37"/>
    </sheetView>
  </sheetViews>
  <sheetFormatPr defaultRowHeight="15" x14ac:dyDescent="0.25"/>
  <cols>
    <col min="2" max="3" width="10.85546875" customWidth="1"/>
    <col min="18" max="18" width="15.140625" customWidth="1"/>
    <col min="19" max="19" width="17" customWidth="1"/>
    <col min="20" max="20" width="12" bestFit="1" customWidth="1"/>
    <col min="21" max="21" width="10" bestFit="1" customWidth="1"/>
    <col min="22" max="22" width="9" customWidth="1"/>
    <col min="23" max="23" width="12" bestFit="1" customWidth="1"/>
    <col min="24" max="24" width="11" bestFit="1" customWidth="1"/>
    <col min="25" max="26" width="12" bestFit="1" customWidth="1"/>
    <col min="27" max="27" width="11" bestFit="1" customWidth="1"/>
    <col min="28" max="28" width="7" customWidth="1"/>
    <col min="29" max="29" width="12" bestFit="1" customWidth="1"/>
    <col min="30" max="30" width="9" customWidth="1"/>
    <col min="31" max="31" width="7" customWidth="1"/>
    <col min="32" max="32" width="5" customWidth="1"/>
    <col min="33" max="33" width="7" customWidth="1"/>
    <col min="34" max="35" width="5" customWidth="1"/>
    <col min="36" max="36" width="7" customWidth="1"/>
    <col min="37" max="37" width="5" customWidth="1"/>
    <col min="38" max="38" width="4" customWidth="1"/>
    <col min="39" max="39" width="6" customWidth="1"/>
    <col min="40" max="40" width="12" bestFit="1" customWidth="1"/>
    <col min="41" max="41" width="4" customWidth="1"/>
    <col min="42" max="43" width="6" customWidth="1"/>
    <col min="44" max="44" width="5" customWidth="1"/>
    <col min="45" max="45" width="4" customWidth="1"/>
    <col min="46" max="46" width="6" customWidth="1"/>
    <col min="47" max="47" width="5" customWidth="1"/>
    <col min="48" max="48" width="6" customWidth="1"/>
    <col min="49" max="50" width="4" customWidth="1"/>
    <col min="51" max="51" width="2" customWidth="1"/>
    <col min="52" max="52" width="4" customWidth="1"/>
    <col min="53" max="53" width="5" customWidth="1"/>
    <col min="54" max="54" width="6" customWidth="1"/>
    <col min="55" max="55" width="5" customWidth="1"/>
    <col min="56" max="56" width="4" customWidth="1"/>
    <col min="57" max="57" width="5" customWidth="1"/>
    <col min="58" max="58" width="2" customWidth="1"/>
    <col min="59" max="59" width="5" customWidth="1"/>
    <col min="60" max="60" width="4" customWidth="1"/>
    <col min="61" max="61" width="6" customWidth="1"/>
    <col min="62" max="62" width="2" customWidth="1"/>
    <col min="63" max="64" width="5" customWidth="1"/>
    <col min="65" max="65" width="2" customWidth="1"/>
    <col min="66" max="66" width="5" customWidth="1"/>
    <col min="67" max="67" width="6" customWidth="1"/>
    <col min="68" max="68" width="5" customWidth="1"/>
    <col min="69" max="70" width="2" customWidth="1"/>
    <col min="71" max="71" width="5" customWidth="1"/>
    <col min="72" max="72" width="6" customWidth="1"/>
    <col min="73" max="73" width="2" customWidth="1"/>
    <col min="74" max="74" width="5" customWidth="1"/>
    <col min="75" max="75" width="6" customWidth="1"/>
    <col min="76" max="76" width="2" customWidth="1"/>
    <col min="77" max="77" width="6" customWidth="1"/>
    <col min="78" max="78" width="2" customWidth="1"/>
    <col min="79" max="80" width="6" customWidth="1"/>
    <col min="81" max="92" width="3" customWidth="1"/>
    <col min="93" max="93" width="6" customWidth="1"/>
    <col min="94" max="118" width="3" customWidth="1"/>
    <col min="119" max="145" width="4" customWidth="1"/>
    <col min="146" max="146" width="7" customWidth="1"/>
    <col min="147" max="152" width="4" customWidth="1"/>
    <col min="153" max="153" width="7" customWidth="1"/>
    <col min="154" max="162" width="4" customWidth="1"/>
    <col min="163" max="163" width="6" customWidth="1"/>
    <col min="164" max="193" width="4" customWidth="1"/>
    <col min="194" max="194" width="7" customWidth="1"/>
    <col min="195" max="215" width="4" customWidth="1"/>
    <col min="216" max="216" width="7" customWidth="1"/>
    <col min="217" max="231" width="4" customWidth="1"/>
    <col min="232" max="254" width="5" customWidth="1"/>
    <col min="255" max="255" width="7" customWidth="1"/>
    <col min="256" max="260" width="5" customWidth="1"/>
    <col min="261" max="261" width="7" customWidth="1"/>
    <col min="262" max="269" width="5" customWidth="1"/>
    <col min="270" max="270" width="8" customWidth="1"/>
    <col min="271" max="272" width="6" customWidth="1"/>
    <col min="273" max="273" width="8" customWidth="1"/>
    <col min="274" max="274" width="9" customWidth="1"/>
    <col min="275" max="293" width="6" customWidth="1"/>
    <col min="294" max="294" width="9" customWidth="1"/>
    <col min="295" max="302" width="6" customWidth="1"/>
    <col min="303" max="307" width="7" customWidth="1"/>
    <col min="308" max="308" width="10" bestFit="1" customWidth="1"/>
    <col min="309" max="309" width="8.42578125" customWidth="1"/>
    <col min="310" max="310" width="13.85546875" bestFit="1" customWidth="1"/>
  </cols>
  <sheetData>
    <row r="2" spans="2:19" x14ac:dyDescent="0.25">
      <c r="B2" s="252" t="s">
        <v>887</v>
      </c>
      <c r="C2" s="253" t="s">
        <v>888</v>
      </c>
      <c r="F2" s="111"/>
      <c r="G2" s="113"/>
      <c r="H2" s="111"/>
      <c r="I2" s="111"/>
    </row>
    <row r="3" spans="2:19" x14ac:dyDescent="0.25">
      <c r="B3" s="234" t="s">
        <v>693</v>
      </c>
      <c r="C3" s="254">
        <v>1</v>
      </c>
      <c r="F3" s="111"/>
      <c r="G3" s="113"/>
      <c r="H3" s="111"/>
      <c r="I3" s="111"/>
      <c r="R3" s="265" t="s">
        <v>889</v>
      </c>
      <c r="S3" t="s">
        <v>891</v>
      </c>
    </row>
    <row r="4" spans="2:19" x14ac:dyDescent="0.25">
      <c r="B4" s="234" t="s">
        <v>693</v>
      </c>
      <c r="C4" s="254">
        <v>1</v>
      </c>
      <c r="F4" s="114"/>
      <c r="G4" s="115"/>
      <c r="H4" s="114"/>
      <c r="I4" s="114"/>
      <c r="R4" s="266" t="s">
        <v>693</v>
      </c>
      <c r="S4" s="267">
        <v>5</v>
      </c>
    </row>
    <row r="5" spans="2:19" x14ac:dyDescent="0.25">
      <c r="B5" s="234" t="s">
        <v>693</v>
      </c>
      <c r="C5" s="254">
        <v>1</v>
      </c>
      <c r="F5" s="114"/>
      <c r="G5" s="115"/>
      <c r="H5" s="114"/>
      <c r="I5" s="114"/>
      <c r="R5" s="266" t="s">
        <v>883</v>
      </c>
      <c r="S5" s="267">
        <v>91</v>
      </c>
    </row>
    <row r="6" spans="2:19" x14ac:dyDescent="0.25">
      <c r="B6" s="234" t="s">
        <v>693</v>
      </c>
      <c r="C6" s="254">
        <v>1</v>
      </c>
      <c r="F6" s="114"/>
      <c r="G6" s="115"/>
      <c r="H6" s="114"/>
      <c r="I6" s="114"/>
      <c r="R6" s="266" t="s">
        <v>867</v>
      </c>
      <c r="S6" s="267">
        <v>30227</v>
      </c>
    </row>
    <row r="7" spans="2:19" x14ac:dyDescent="0.25">
      <c r="B7" s="234" t="s">
        <v>693</v>
      </c>
      <c r="C7" s="254">
        <v>1</v>
      </c>
      <c r="F7" s="114"/>
      <c r="G7" s="115"/>
      <c r="H7" s="114"/>
      <c r="I7" s="114"/>
      <c r="R7" s="266" t="s">
        <v>868</v>
      </c>
      <c r="S7" s="267">
        <v>67</v>
      </c>
    </row>
    <row r="8" spans="2:19" x14ac:dyDescent="0.25">
      <c r="B8" s="234" t="s">
        <v>883</v>
      </c>
      <c r="C8" s="254">
        <v>1</v>
      </c>
      <c r="F8" s="114"/>
      <c r="G8" s="115"/>
      <c r="H8" s="114"/>
      <c r="I8" s="114"/>
      <c r="R8" s="266" t="s">
        <v>555</v>
      </c>
      <c r="S8" s="267">
        <v>61847</v>
      </c>
    </row>
    <row r="9" spans="2:19" x14ac:dyDescent="0.25">
      <c r="B9" s="234" t="s">
        <v>883</v>
      </c>
      <c r="C9" s="254">
        <v>1</v>
      </c>
      <c r="F9" s="114"/>
      <c r="G9" s="115"/>
      <c r="H9" s="114"/>
      <c r="I9" s="114"/>
      <c r="R9" s="266" t="s">
        <v>701</v>
      </c>
      <c r="S9" s="267">
        <v>4800</v>
      </c>
    </row>
    <row r="10" spans="2:19" x14ac:dyDescent="0.25">
      <c r="B10" s="234" t="s">
        <v>883</v>
      </c>
      <c r="C10" s="254">
        <v>1</v>
      </c>
      <c r="F10" s="114"/>
      <c r="G10" s="115"/>
      <c r="H10" s="114"/>
      <c r="I10" s="114"/>
      <c r="R10" s="266" t="s">
        <v>557</v>
      </c>
      <c r="S10" s="267">
        <v>29.785499999999995</v>
      </c>
    </row>
    <row r="11" spans="2:19" x14ac:dyDescent="0.25">
      <c r="B11" s="234" t="s">
        <v>883</v>
      </c>
      <c r="C11" s="254">
        <v>1</v>
      </c>
      <c r="F11" s="114"/>
      <c r="G11" s="115"/>
      <c r="H11" s="114"/>
      <c r="I11" s="114"/>
      <c r="R11" s="266" t="s">
        <v>676</v>
      </c>
      <c r="S11" s="267">
        <v>0.56259999999999999</v>
      </c>
    </row>
    <row r="12" spans="2:19" x14ac:dyDescent="0.25">
      <c r="B12" s="234" t="s">
        <v>883</v>
      </c>
      <c r="C12" s="254">
        <v>2</v>
      </c>
      <c r="F12" s="114"/>
      <c r="G12" s="115"/>
      <c r="H12" s="114"/>
      <c r="I12" s="114"/>
      <c r="R12" s="266" t="s">
        <v>654</v>
      </c>
      <c r="S12" s="267">
        <v>12887</v>
      </c>
    </row>
    <row r="13" spans="2:19" x14ac:dyDescent="0.25">
      <c r="B13" s="234" t="s">
        <v>883</v>
      </c>
      <c r="C13" s="254">
        <v>1</v>
      </c>
      <c r="F13" s="114"/>
      <c r="G13" s="115"/>
      <c r="H13" s="114"/>
      <c r="I13" s="114"/>
      <c r="R13" s="266" t="s">
        <v>559</v>
      </c>
      <c r="S13" s="267">
        <v>96065</v>
      </c>
    </row>
    <row r="14" spans="2:19" x14ac:dyDescent="0.25">
      <c r="B14" s="234" t="s">
        <v>883</v>
      </c>
      <c r="C14" s="254">
        <v>1</v>
      </c>
      <c r="F14" s="114"/>
      <c r="G14" s="115"/>
      <c r="H14" s="114"/>
      <c r="I14" s="114"/>
      <c r="R14" s="266" t="s">
        <v>561</v>
      </c>
      <c r="S14" s="267">
        <v>2066422.23</v>
      </c>
    </row>
    <row r="15" spans="2:19" x14ac:dyDescent="0.25">
      <c r="B15" s="234" t="s">
        <v>883</v>
      </c>
      <c r="C15" s="254">
        <v>1</v>
      </c>
      <c r="F15" s="111"/>
      <c r="G15" s="113"/>
      <c r="H15" s="114"/>
      <c r="I15" s="114"/>
      <c r="R15" s="266" t="s">
        <v>563</v>
      </c>
      <c r="S15" s="267">
        <v>18671.02</v>
      </c>
    </row>
    <row r="16" spans="2:19" x14ac:dyDescent="0.25">
      <c r="B16" s="234" t="s">
        <v>883</v>
      </c>
      <c r="C16" s="254">
        <v>1</v>
      </c>
      <c r="F16" s="45"/>
      <c r="G16" s="113"/>
      <c r="H16" s="114"/>
      <c r="I16" s="114"/>
      <c r="R16" s="266" t="s">
        <v>670</v>
      </c>
      <c r="S16" s="267">
        <v>100</v>
      </c>
    </row>
    <row r="17" spans="2:19" x14ac:dyDescent="0.25">
      <c r="B17" s="234" t="s">
        <v>883</v>
      </c>
      <c r="C17" s="254">
        <v>1</v>
      </c>
      <c r="F17" s="114"/>
      <c r="G17" s="115"/>
      <c r="H17" s="114"/>
      <c r="I17" s="114"/>
      <c r="R17" s="266" t="s">
        <v>567</v>
      </c>
      <c r="S17" s="267">
        <v>5600</v>
      </c>
    </row>
    <row r="18" spans="2:19" x14ac:dyDescent="0.25">
      <c r="B18" s="234" t="s">
        <v>883</v>
      </c>
      <c r="C18" s="254">
        <v>1</v>
      </c>
      <c r="F18" s="114"/>
      <c r="G18" s="115"/>
      <c r="H18" s="114"/>
      <c r="I18" s="114"/>
      <c r="R18" s="266" t="s">
        <v>569</v>
      </c>
      <c r="S18" s="267">
        <v>12622</v>
      </c>
    </row>
    <row r="19" spans="2:19" x14ac:dyDescent="0.25">
      <c r="B19" s="234" t="s">
        <v>883</v>
      </c>
      <c r="C19" s="254">
        <v>1</v>
      </c>
      <c r="F19" s="114"/>
      <c r="G19" s="115"/>
      <c r="H19" s="114"/>
      <c r="I19" s="114"/>
      <c r="R19" s="266" t="s">
        <v>571</v>
      </c>
      <c r="S19" s="267">
        <v>9010</v>
      </c>
    </row>
    <row r="20" spans="2:19" x14ac:dyDescent="0.25">
      <c r="B20" s="234" t="s">
        <v>883</v>
      </c>
      <c r="C20" s="254">
        <v>1</v>
      </c>
      <c r="F20" s="114"/>
      <c r="G20" s="115"/>
      <c r="H20" s="114"/>
      <c r="I20" s="114"/>
      <c r="R20" s="266" t="s">
        <v>573</v>
      </c>
      <c r="S20" s="267">
        <v>316960</v>
      </c>
    </row>
    <row r="21" spans="2:19" x14ac:dyDescent="0.25">
      <c r="B21" s="234" t="s">
        <v>883</v>
      </c>
      <c r="C21" s="254">
        <v>1</v>
      </c>
      <c r="F21" s="114"/>
      <c r="G21" s="115"/>
      <c r="H21" s="114"/>
      <c r="I21" s="114"/>
      <c r="R21" s="266" t="s">
        <v>869</v>
      </c>
      <c r="S21" s="267">
        <v>5</v>
      </c>
    </row>
    <row r="22" spans="2:19" x14ac:dyDescent="0.25">
      <c r="B22" s="234" t="s">
        <v>883</v>
      </c>
      <c r="C22" s="254">
        <v>1</v>
      </c>
      <c r="F22" s="114"/>
      <c r="G22" s="115"/>
      <c r="H22" s="114"/>
      <c r="I22" s="114"/>
      <c r="R22" s="266" t="s">
        <v>577</v>
      </c>
      <c r="S22" s="267">
        <v>6</v>
      </c>
    </row>
    <row r="23" spans="2:19" x14ac:dyDescent="0.25">
      <c r="B23" s="234" t="s">
        <v>883</v>
      </c>
      <c r="C23" s="254">
        <v>1</v>
      </c>
      <c r="F23" s="114"/>
      <c r="G23" s="115"/>
      <c r="H23" s="114"/>
      <c r="I23" s="114"/>
      <c r="R23" s="266" t="s">
        <v>579</v>
      </c>
      <c r="S23" s="267">
        <v>65</v>
      </c>
    </row>
    <row r="24" spans="2:19" x14ac:dyDescent="0.25">
      <c r="B24" s="234" t="s">
        <v>883</v>
      </c>
      <c r="C24" s="254">
        <v>1</v>
      </c>
      <c r="F24" s="114"/>
      <c r="G24" s="115"/>
      <c r="H24" s="114"/>
      <c r="I24" s="114"/>
      <c r="R24" s="266" t="s">
        <v>680</v>
      </c>
      <c r="S24" s="267">
        <v>2</v>
      </c>
    </row>
    <row r="25" spans="2:19" x14ac:dyDescent="0.25">
      <c r="B25" s="234" t="s">
        <v>883</v>
      </c>
      <c r="C25" s="254">
        <v>1</v>
      </c>
      <c r="F25" s="114"/>
      <c r="G25" s="115"/>
      <c r="H25" s="114"/>
      <c r="I25" s="114"/>
      <c r="R25" s="266" t="s">
        <v>678</v>
      </c>
      <c r="S25" s="267">
        <v>4</v>
      </c>
    </row>
    <row r="26" spans="2:19" x14ac:dyDescent="0.25">
      <c r="B26" s="234" t="s">
        <v>883</v>
      </c>
      <c r="C26" s="254">
        <v>2</v>
      </c>
      <c r="F26" s="114"/>
      <c r="G26" s="115"/>
      <c r="H26" s="114"/>
      <c r="I26" s="114"/>
      <c r="R26" s="266" t="s">
        <v>672</v>
      </c>
      <c r="S26" s="267">
        <v>1</v>
      </c>
    </row>
    <row r="27" spans="2:19" x14ac:dyDescent="0.25">
      <c r="B27" s="234" t="s">
        <v>883</v>
      </c>
      <c r="C27" s="254">
        <v>1</v>
      </c>
      <c r="F27" s="114"/>
      <c r="G27" s="115"/>
      <c r="H27" s="114"/>
      <c r="I27" s="114"/>
      <c r="R27" s="266" t="s">
        <v>674</v>
      </c>
      <c r="S27" s="267">
        <v>1</v>
      </c>
    </row>
    <row r="28" spans="2:19" x14ac:dyDescent="0.25">
      <c r="B28" s="234" t="s">
        <v>883</v>
      </c>
      <c r="C28" s="254">
        <v>7</v>
      </c>
      <c r="F28" s="114"/>
      <c r="G28" s="115"/>
      <c r="H28" s="114"/>
      <c r="I28" s="114"/>
      <c r="R28" s="266" t="s">
        <v>581</v>
      </c>
      <c r="S28" s="267">
        <v>15</v>
      </c>
    </row>
    <row r="29" spans="2:19" x14ac:dyDescent="0.25">
      <c r="B29" s="234" t="s">
        <v>883</v>
      </c>
      <c r="C29" s="254">
        <v>14</v>
      </c>
      <c r="F29" s="114"/>
      <c r="G29" s="115"/>
      <c r="H29" s="114"/>
      <c r="I29" s="114"/>
      <c r="R29" s="266" t="s">
        <v>871</v>
      </c>
      <c r="S29" s="267">
        <v>3</v>
      </c>
    </row>
    <row r="30" spans="2:19" x14ac:dyDescent="0.25">
      <c r="B30" s="234" t="s">
        <v>883</v>
      </c>
      <c r="C30" s="254">
        <v>5</v>
      </c>
      <c r="F30" s="114"/>
      <c r="G30" s="115"/>
      <c r="H30" s="114"/>
      <c r="I30" s="114"/>
      <c r="R30" s="266" t="s">
        <v>660</v>
      </c>
      <c r="S30" s="267">
        <v>0.5</v>
      </c>
    </row>
    <row r="31" spans="2:19" x14ac:dyDescent="0.25">
      <c r="B31" s="234" t="s">
        <v>883</v>
      </c>
      <c r="C31" s="254">
        <v>2</v>
      </c>
      <c r="F31" s="111"/>
      <c r="G31" s="113"/>
      <c r="H31" s="114"/>
      <c r="I31" s="114"/>
      <c r="R31" s="266" t="s">
        <v>583</v>
      </c>
      <c r="S31" s="267">
        <v>38034</v>
      </c>
    </row>
    <row r="32" spans="2:19" x14ac:dyDescent="0.25">
      <c r="B32" s="234" t="s">
        <v>883</v>
      </c>
      <c r="C32" s="254">
        <v>1</v>
      </c>
      <c r="F32" s="114"/>
      <c r="G32" s="115"/>
      <c r="H32" s="114"/>
      <c r="I32" s="114"/>
      <c r="R32" s="266" t="s">
        <v>589</v>
      </c>
      <c r="S32" s="267">
        <v>454</v>
      </c>
    </row>
    <row r="33" spans="2:19" x14ac:dyDescent="0.25">
      <c r="B33" s="234" t="s">
        <v>883</v>
      </c>
      <c r="C33" s="254">
        <v>3</v>
      </c>
      <c r="F33" s="114"/>
      <c r="G33" s="115"/>
      <c r="H33" s="114"/>
      <c r="I33" s="114"/>
      <c r="R33" s="266" t="s">
        <v>591</v>
      </c>
      <c r="S33" s="267">
        <v>11</v>
      </c>
    </row>
    <row r="34" spans="2:19" x14ac:dyDescent="0.25">
      <c r="B34" s="234" t="s">
        <v>883</v>
      </c>
      <c r="C34" s="254">
        <v>2</v>
      </c>
      <c r="F34" s="114"/>
      <c r="G34" s="115"/>
      <c r="H34" s="114"/>
      <c r="I34" s="114"/>
      <c r="R34" s="266" t="s">
        <v>694</v>
      </c>
      <c r="S34" s="267">
        <v>3</v>
      </c>
    </row>
    <row r="35" spans="2:19" x14ac:dyDescent="0.25">
      <c r="B35" s="234" t="s">
        <v>883</v>
      </c>
      <c r="C35" s="254">
        <v>3</v>
      </c>
      <c r="H35" s="114"/>
      <c r="I35" s="114"/>
      <c r="R35" s="266" t="s">
        <v>593</v>
      </c>
      <c r="S35" s="267">
        <v>10</v>
      </c>
    </row>
    <row r="36" spans="2:19" x14ac:dyDescent="0.25">
      <c r="B36" s="234" t="s">
        <v>883</v>
      </c>
      <c r="C36" s="254">
        <v>5</v>
      </c>
      <c r="H36" s="114"/>
      <c r="I36" s="114"/>
      <c r="R36" s="266" t="s">
        <v>595</v>
      </c>
      <c r="S36" s="267">
        <v>11</v>
      </c>
    </row>
    <row r="37" spans="2:19" x14ac:dyDescent="0.25">
      <c r="B37" s="234" t="s">
        <v>883</v>
      </c>
      <c r="C37" s="254">
        <v>1</v>
      </c>
      <c r="H37" s="114"/>
      <c r="I37" s="114"/>
      <c r="R37" s="266" t="s">
        <v>684</v>
      </c>
      <c r="S37" s="267">
        <v>36</v>
      </c>
    </row>
    <row r="38" spans="2:19" x14ac:dyDescent="0.25">
      <c r="B38" s="234" t="s">
        <v>883</v>
      </c>
      <c r="C38" s="254">
        <v>1</v>
      </c>
      <c r="H38" s="114"/>
      <c r="I38" s="114"/>
      <c r="R38" s="266" t="s">
        <v>662</v>
      </c>
      <c r="S38" s="267">
        <v>1347</v>
      </c>
    </row>
    <row r="39" spans="2:19" x14ac:dyDescent="0.25">
      <c r="B39" s="234" t="s">
        <v>883</v>
      </c>
      <c r="C39" s="254">
        <v>1</v>
      </c>
      <c r="H39" s="114"/>
      <c r="I39" s="114"/>
      <c r="R39" s="266" t="s">
        <v>664</v>
      </c>
      <c r="S39" s="267">
        <v>3</v>
      </c>
    </row>
    <row r="40" spans="2:19" x14ac:dyDescent="0.25">
      <c r="B40" s="234" t="s">
        <v>883</v>
      </c>
      <c r="C40" s="254">
        <v>1</v>
      </c>
      <c r="H40" s="114"/>
      <c r="I40" s="114"/>
      <c r="R40" s="266" t="s">
        <v>689</v>
      </c>
      <c r="S40" s="267">
        <v>2</v>
      </c>
    </row>
    <row r="41" spans="2:19" x14ac:dyDescent="0.25">
      <c r="B41" s="234" t="s">
        <v>883</v>
      </c>
      <c r="C41" s="254">
        <v>1</v>
      </c>
      <c r="H41" s="114"/>
      <c r="I41" s="114"/>
      <c r="R41" s="266" t="s">
        <v>650</v>
      </c>
      <c r="S41" s="267">
        <v>2</v>
      </c>
    </row>
    <row r="42" spans="2:19" x14ac:dyDescent="0.25">
      <c r="B42" s="234" t="s">
        <v>883</v>
      </c>
      <c r="C42" s="254">
        <v>1</v>
      </c>
      <c r="H42" s="114"/>
      <c r="I42" s="114"/>
      <c r="R42" s="266" t="s">
        <v>599</v>
      </c>
      <c r="S42" s="267">
        <v>20.170000000000002</v>
      </c>
    </row>
    <row r="43" spans="2:19" x14ac:dyDescent="0.25">
      <c r="B43" s="234" t="s">
        <v>883</v>
      </c>
      <c r="C43" s="254">
        <v>1</v>
      </c>
      <c r="H43" s="114"/>
      <c r="I43" s="114"/>
      <c r="R43" s="266" t="s">
        <v>601</v>
      </c>
      <c r="S43" s="267">
        <v>1.5980000000000001</v>
      </c>
    </row>
    <row r="44" spans="2:19" x14ac:dyDescent="0.25">
      <c r="B44" s="234" t="s">
        <v>883</v>
      </c>
      <c r="C44" s="254">
        <v>1</v>
      </c>
      <c r="H44" s="114"/>
      <c r="I44" s="114"/>
      <c r="R44" s="266" t="s">
        <v>603</v>
      </c>
      <c r="S44" s="267">
        <v>13</v>
      </c>
    </row>
    <row r="45" spans="2:19" x14ac:dyDescent="0.25">
      <c r="B45" s="234" t="s">
        <v>883</v>
      </c>
      <c r="C45" s="254">
        <v>1</v>
      </c>
      <c r="H45" s="114"/>
      <c r="I45" s="114"/>
      <c r="R45" s="266" t="s">
        <v>605</v>
      </c>
      <c r="S45" s="267">
        <v>30</v>
      </c>
    </row>
    <row r="46" spans="2:19" x14ac:dyDescent="0.25">
      <c r="B46" s="234" t="s">
        <v>883</v>
      </c>
      <c r="C46" s="254">
        <v>1</v>
      </c>
      <c r="H46" s="114"/>
      <c r="I46" s="114"/>
      <c r="R46" s="266" t="s">
        <v>607</v>
      </c>
      <c r="S46" s="267">
        <v>1157.0700000000002</v>
      </c>
    </row>
    <row r="47" spans="2:19" x14ac:dyDescent="0.25">
      <c r="B47" s="234" t="s">
        <v>883</v>
      </c>
      <c r="C47" s="254">
        <v>1</v>
      </c>
      <c r="H47" s="114"/>
      <c r="I47" s="114"/>
      <c r="R47" s="266" t="s">
        <v>609</v>
      </c>
      <c r="S47" s="267">
        <v>31629.1</v>
      </c>
    </row>
    <row r="48" spans="2:19" x14ac:dyDescent="0.25">
      <c r="B48" s="234" t="s">
        <v>883</v>
      </c>
      <c r="C48" s="254">
        <v>1</v>
      </c>
      <c r="H48" s="114"/>
      <c r="I48" s="114"/>
      <c r="R48" s="266" t="s">
        <v>611</v>
      </c>
      <c r="S48" s="267">
        <v>71.038999999999987</v>
      </c>
    </row>
    <row r="49" spans="2:19" x14ac:dyDescent="0.25">
      <c r="B49" s="234" t="s">
        <v>883</v>
      </c>
      <c r="C49" s="254">
        <v>1</v>
      </c>
      <c r="H49" s="114"/>
      <c r="I49" s="114"/>
      <c r="R49" s="266" t="s">
        <v>613</v>
      </c>
      <c r="S49" s="267">
        <v>5</v>
      </c>
    </row>
    <row r="50" spans="2:19" x14ac:dyDescent="0.25">
      <c r="B50" s="234" t="s">
        <v>883</v>
      </c>
      <c r="C50" s="254">
        <v>7</v>
      </c>
      <c r="H50" s="114"/>
      <c r="I50" s="114"/>
      <c r="R50" s="266" t="s">
        <v>702</v>
      </c>
      <c r="S50" s="267">
        <v>2</v>
      </c>
    </row>
    <row r="51" spans="2:19" x14ac:dyDescent="0.25">
      <c r="B51" s="234" t="s">
        <v>883</v>
      </c>
      <c r="C51" s="254">
        <v>1</v>
      </c>
      <c r="H51" s="114"/>
      <c r="I51" s="114"/>
      <c r="R51" s="266" t="s">
        <v>874</v>
      </c>
      <c r="S51" s="267">
        <v>1</v>
      </c>
    </row>
    <row r="52" spans="2:19" x14ac:dyDescent="0.25">
      <c r="B52" s="234" t="s">
        <v>883</v>
      </c>
      <c r="C52" s="254">
        <v>1</v>
      </c>
      <c r="H52" s="114"/>
      <c r="I52" s="114"/>
      <c r="R52" s="266" t="s">
        <v>615</v>
      </c>
      <c r="S52" s="267">
        <v>5</v>
      </c>
    </row>
    <row r="53" spans="2:19" x14ac:dyDescent="0.25">
      <c r="B53" s="234" t="s">
        <v>883</v>
      </c>
      <c r="C53" s="254">
        <v>1</v>
      </c>
      <c r="H53" s="114"/>
      <c r="I53" s="114"/>
      <c r="R53" s="266" t="s">
        <v>646</v>
      </c>
      <c r="S53" s="267">
        <v>9</v>
      </c>
    </row>
    <row r="54" spans="2:19" x14ac:dyDescent="0.25">
      <c r="B54" s="234" t="s">
        <v>883</v>
      </c>
      <c r="C54" s="254">
        <v>1</v>
      </c>
      <c r="H54" s="114"/>
      <c r="I54" s="114"/>
      <c r="R54" s="266" t="s">
        <v>617</v>
      </c>
      <c r="S54" s="267">
        <v>42</v>
      </c>
    </row>
    <row r="55" spans="2:19" x14ac:dyDescent="0.25">
      <c r="B55" s="234" t="s">
        <v>883</v>
      </c>
      <c r="C55" s="254">
        <v>1</v>
      </c>
      <c r="H55" s="114"/>
      <c r="I55" s="114"/>
      <c r="R55" s="266" t="s">
        <v>619</v>
      </c>
      <c r="S55" s="267">
        <v>9</v>
      </c>
    </row>
    <row r="56" spans="2:19" x14ac:dyDescent="0.25">
      <c r="B56" s="234" t="s">
        <v>883</v>
      </c>
      <c r="C56" s="254">
        <v>1</v>
      </c>
      <c r="H56" s="114"/>
      <c r="I56" s="114"/>
      <c r="R56" s="266" t="s">
        <v>621</v>
      </c>
      <c r="S56" s="267">
        <v>374</v>
      </c>
    </row>
    <row r="57" spans="2:19" x14ac:dyDescent="0.25">
      <c r="B57" s="234" t="s">
        <v>883</v>
      </c>
      <c r="C57" s="254">
        <v>1</v>
      </c>
      <c r="H57" s="114"/>
      <c r="I57" s="114"/>
      <c r="R57" s="266" t="s">
        <v>644</v>
      </c>
      <c r="S57" s="267">
        <v>2</v>
      </c>
    </row>
    <row r="58" spans="2:19" x14ac:dyDescent="0.25">
      <c r="B58" s="234" t="s">
        <v>867</v>
      </c>
      <c r="C58" s="250">
        <v>240</v>
      </c>
      <c r="H58" s="114"/>
      <c r="I58" s="114"/>
      <c r="R58" s="266" t="s">
        <v>623</v>
      </c>
      <c r="S58" s="267">
        <v>316627.5</v>
      </c>
    </row>
    <row r="59" spans="2:19" x14ac:dyDescent="0.25">
      <c r="B59" s="234" t="s">
        <v>867</v>
      </c>
      <c r="C59" s="250">
        <v>488</v>
      </c>
      <c r="H59" s="114"/>
      <c r="I59" s="114"/>
      <c r="R59" s="266" t="s">
        <v>625</v>
      </c>
      <c r="S59" s="267">
        <v>255.37</v>
      </c>
    </row>
    <row r="60" spans="2:19" x14ac:dyDescent="0.25">
      <c r="B60" s="234" t="s">
        <v>867</v>
      </c>
      <c r="C60" s="250">
        <v>653</v>
      </c>
      <c r="H60" s="114"/>
      <c r="I60" s="114"/>
      <c r="R60" s="266" t="s">
        <v>642</v>
      </c>
      <c r="S60" s="267">
        <v>14546</v>
      </c>
    </row>
    <row r="61" spans="2:19" x14ac:dyDescent="0.25">
      <c r="B61" s="234" t="s">
        <v>867</v>
      </c>
      <c r="C61" s="254">
        <v>48</v>
      </c>
      <c r="H61" s="114"/>
      <c r="I61" s="114"/>
      <c r="R61" s="266" t="s">
        <v>629</v>
      </c>
      <c r="S61" s="267">
        <v>8</v>
      </c>
    </row>
    <row r="62" spans="2:19" x14ac:dyDescent="0.25">
      <c r="B62" s="235" t="s">
        <v>867</v>
      </c>
      <c r="C62" s="254">
        <v>747</v>
      </c>
      <c r="H62" s="124"/>
      <c r="I62" s="124"/>
      <c r="R62" s="266" t="s">
        <v>682</v>
      </c>
      <c r="S62" s="267">
        <v>418</v>
      </c>
    </row>
    <row r="63" spans="2:19" x14ac:dyDescent="0.25">
      <c r="B63" s="235" t="s">
        <v>867</v>
      </c>
      <c r="C63" s="250">
        <v>812</v>
      </c>
      <c r="H63" s="114"/>
      <c r="I63" s="114"/>
      <c r="R63" s="266" t="s">
        <v>631</v>
      </c>
      <c r="S63" s="267">
        <v>26</v>
      </c>
    </row>
    <row r="64" spans="2:19" x14ac:dyDescent="0.25">
      <c r="B64" s="235" t="s">
        <v>867</v>
      </c>
      <c r="C64" s="250">
        <v>553</v>
      </c>
      <c r="H64" s="114"/>
      <c r="I64" s="114"/>
      <c r="R64" s="266" t="s">
        <v>633</v>
      </c>
      <c r="S64" s="267">
        <v>178</v>
      </c>
    </row>
    <row r="65" spans="2:19" x14ac:dyDescent="0.25">
      <c r="B65" s="235" t="s">
        <v>867</v>
      </c>
      <c r="C65" s="250">
        <v>584</v>
      </c>
      <c r="H65" s="114"/>
      <c r="I65" s="114"/>
      <c r="R65" s="266" t="s">
        <v>636</v>
      </c>
      <c r="S65" s="267">
        <v>152.67000000000002</v>
      </c>
    </row>
    <row r="66" spans="2:19" x14ac:dyDescent="0.25">
      <c r="B66" s="235" t="s">
        <v>867</v>
      </c>
      <c r="C66" s="250">
        <v>177</v>
      </c>
      <c r="H66" s="114"/>
      <c r="I66" s="114"/>
      <c r="R66" s="266" t="s">
        <v>638</v>
      </c>
      <c r="S66" s="267">
        <v>478</v>
      </c>
    </row>
    <row r="67" spans="2:19" x14ac:dyDescent="0.25">
      <c r="B67" s="235" t="s">
        <v>867</v>
      </c>
      <c r="C67" s="250">
        <v>543</v>
      </c>
      <c r="H67" s="114"/>
      <c r="I67" s="114"/>
      <c r="R67" s="266" t="s">
        <v>668</v>
      </c>
      <c r="S67" s="267">
        <v>299</v>
      </c>
    </row>
    <row r="68" spans="2:19" x14ac:dyDescent="0.25">
      <c r="B68" s="235" t="s">
        <v>867</v>
      </c>
      <c r="C68" s="250">
        <v>177</v>
      </c>
      <c r="H68" s="114"/>
      <c r="I68" s="114"/>
      <c r="R68" s="266" t="s">
        <v>703</v>
      </c>
      <c r="S68" s="267">
        <v>1.0462658440000001</v>
      </c>
    </row>
    <row r="69" spans="2:19" x14ac:dyDescent="0.25">
      <c r="B69" s="235" t="s">
        <v>867</v>
      </c>
      <c r="C69" s="250">
        <v>877</v>
      </c>
      <c r="H69" s="114"/>
      <c r="I69" s="114"/>
      <c r="R69" s="266" t="s">
        <v>877</v>
      </c>
      <c r="S69" s="267">
        <v>2</v>
      </c>
    </row>
    <row r="70" spans="2:19" x14ac:dyDescent="0.25">
      <c r="B70" s="235" t="s">
        <v>867</v>
      </c>
      <c r="C70" s="250">
        <v>263</v>
      </c>
      <c r="H70" s="114"/>
      <c r="I70" s="114"/>
      <c r="R70" s="266" t="s">
        <v>878</v>
      </c>
      <c r="S70" s="267">
        <v>1</v>
      </c>
    </row>
    <row r="71" spans="2:19" x14ac:dyDescent="0.25">
      <c r="B71" s="235" t="s">
        <v>867</v>
      </c>
      <c r="C71" s="250">
        <v>402</v>
      </c>
      <c r="H71" s="114"/>
      <c r="I71" s="114"/>
      <c r="R71" s="266" t="s">
        <v>879</v>
      </c>
      <c r="S71" s="267">
        <v>1</v>
      </c>
    </row>
    <row r="72" spans="2:19" x14ac:dyDescent="0.25">
      <c r="B72" s="235" t="s">
        <v>867</v>
      </c>
      <c r="C72" s="250">
        <v>335</v>
      </c>
      <c r="H72" s="114"/>
      <c r="I72" s="114"/>
      <c r="R72" s="266" t="s">
        <v>880</v>
      </c>
      <c r="S72" s="267">
        <v>1</v>
      </c>
    </row>
    <row r="73" spans="2:19" x14ac:dyDescent="0.25">
      <c r="B73" s="235" t="s">
        <v>867</v>
      </c>
      <c r="C73" s="250">
        <v>410</v>
      </c>
      <c r="H73" s="114"/>
      <c r="I73" s="114"/>
      <c r="R73" s="266" t="s">
        <v>881</v>
      </c>
      <c r="S73" s="267">
        <v>1</v>
      </c>
    </row>
    <row r="74" spans="2:19" x14ac:dyDescent="0.25">
      <c r="B74" s="235" t="s">
        <v>867</v>
      </c>
      <c r="C74" s="250">
        <v>392</v>
      </c>
      <c r="H74" s="114"/>
      <c r="I74" s="114"/>
      <c r="R74" s="266" t="s">
        <v>882</v>
      </c>
      <c r="S74" s="267">
        <v>1</v>
      </c>
    </row>
    <row r="75" spans="2:19" x14ac:dyDescent="0.25">
      <c r="B75" s="235" t="s">
        <v>867</v>
      </c>
      <c r="C75" s="250">
        <v>406</v>
      </c>
      <c r="H75" s="114"/>
      <c r="I75" s="114"/>
      <c r="R75" s="266" t="s">
        <v>890</v>
      </c>
      <c r="S75" s="267">
        <v>3041787.6613658438</v>
      </c>
    </row>
    <row r="76" spans="2:19" x14ac:dyDescent="0.25">
      <c r="B76" s="235" t="s">
        <v>867</v>
      </c>
      <c r="C76" s="250">
        <v>747</v>
      </c>
      <c r="H76" s="114"/>
      <c r="I76" s="114"/>
    </row>
    <row r="77" spans="2:19" x14ac:dyDescent="0.25">
      <c r="B77" s="235" t="s">
        <v>867</v>
      </c>
      <c r="C77" s="250">
        <v>637</v>
      </c>
      <c r="H77" s="114"/>
      <c r="I77" s="114"/>
    </row>
    <row r="78" spans="2:19" x14ac:dyDescent="0.25">
      <c r="B78" s="235" t="s">
        <v>867</v>
      </c>
      <c r="C78" s="250">
        <v>635</v>
      </c>
      <c r="H78" s="114"/>
      <c r="I78" s="114"/>
    </row>
    <row r="79" spans="2:19" x14ac:dyDescent="0.25">
      <c r="B79" s="235" t="s">
        <v>867</v>
      </c>
      <c r="C79" s="250">
        <v>140</v>
      </c>
      <c r="H79" s="114"/>
      <c r="I79" s="114"/>
    </row>
    <row r="80" spans="2:19" x14ac:dyDescent="0.25">
      <c r="B80" s="235" t="s">
        <v>867</v>
      </c>
      <c r="C80" s="250">
        <v>65</v>
      </c>
      <c r="H80" s="114"/>
      <c r="I80" s="114"/>
    </row>
    <row r="81" spans="2:9" x14ac:dyDescent="0.25">
      <c r="B81" s="235" t="s">
        <v>867</v>
      </c>
      <c r="C81" s="250">
        <v>857</v>
      </c>
      <c r="H81" s="114"/>
      <c r="I81" s="114"/>
    </row>
    <row r="82" spans="2:9" x14ac:dyDescent="0.25">
      <c r="B82" s="235" t="s">
        <v>867</v>
      </c>
      <c r="C82" s="250">
        <v>747</v>
      </c>
      <c r="H82" s="114"/>
      <c r="I82" s="114"/>
    </row>
    <row r="83" spans="2:9" x14ac:dyDescent="0.25">
      <c r="B83" s="235" t="s">
        <v>867</v>
      </c>
      <c r="C83" s="250">
        <v>882</v>
      </c>
      <c r="H83" s="114"/>
      <c r="I83" s="114"/>
    </row>
    <row r="84" spans="2:9" x14ac:dyDescent="0.25">
      <c r="B84" s="235" t="s">
        <v>867</v>
      </c>
      <c r="C84" s="250">
        <v>859</v>
      </c>
      <c r="H84" s="114"/>
      <c r="I84" s="114"/>
    </row>
    <row r="85" spans="2:9" x14ac:dyDescent="0.25">
      <c r="B85" s="235" t="s">
        <v>867</v>
      </c>
      <c r="C85" s="250">
        <v>823</v>
      </c>
      <c r="H85" s="114"/>
      <c r="I85" s="114"/>
    </row>
    <row r="86" spans="2:9" x14ac:dyDescent="0.25">
      <c r="B86" s="235" t="s">
        <v>867</v>
      </c>
      <c r="C86" s="250">
        <v>644</v>
      </c>
      <c r="H86" s="114"/>
      <c r="I86" s="114"/>
    </row>
    <row r="87" spans="2:9" x14ac:dyDescent="0.25">
      <c r="B87" s="235" t="s">
        <v>867</v>
      </c>
      <c r="C87" s="250">
        <v>935</v>
      </c>
      <c r="H87" s="114"/>
      <c r="I87" s="114"/>
    </row>
    <row r="88" spans="2:9" x14ac:dyDescent="0.25">
      <c r="B88" s="235" t="s">
        <v>867</v>
      </c>
      <c r="C88" s="250">
        <v>995</v>
      </c>
      <c r="H88" s="137"/>
      <c r="I88" s="137"/>
    </row>
    <row r="89" spans="2:9" x14ac:dyDescent="0.25">
      <c r="B89" s="235" t="s">
        <v>867</v>
      </c>
      <c r="C89" s="250">
        <v>795</v>
      </c>
      <c r="H89" s="137"/>
      <c r="I89" s="137"/>
    </row>
    <row r="90" spans="2:9" x14ac:dyDescent="0.25">
      <c r="B90" s="235" t="s">
        <v>867</v>
      </c>
      <c r="C90" s="250">
        <v>728</v>
      </c>
      <c r="H90" s="114"/>
      <c r="I90" s="114"/>
    </row>
    <row r="91" spans="2:9" x14ac:dyDescent="0.25">
      <c r="B91" s="235" t="s">
        <v>867</v>
      </c>
      <c r="C91" s="250">
        <v>926</v>
      </c>
      <c r="H91" s="114"/>
      <c r="I91" s="114"/>
    </row>
    <row r="92" spans="2:9" x14ac:dyDescent="0.25">
      <c r="B92" s="235" t="s">
        <v>867</v>
      </c>
      <c r="C92" s="250">
        <v>841</v>
      </c>
      <c r="H92" s="114"/>
      <c r="I92" s="114"/>
    </row>
    <row r="93" spans="2:9" x14ac:dyDescent="0.25">
      <c r="B93" s="235" t="s">
        <v>867</v>
      </c>
      <c r="C93" s="250">
        <v>752</v>
      </c>
      <c r="H93" s="114"/>
      <c r="I93" s="114"/>
    </row>
    <row r="94" spans="2:9" x14ac:dyDescent="0.25">
      <c r="B94" s="235" t="s">
        <v>867</v>
      </c>
      <c r="C94" s="250">
        <v>279</v>
      </c>
      <c r="H94" s="114"/>
      <c r="I94" s="114"/>
    </row>
    <row r="95" spans="2:9" x14ac:dyDescent="0.25">
      <c r="B95" s="235" t="s">
        <v>867</v>
      </c>
      <c r="C95" s="250">
        <v>239</v>
      </c>
      <c r="H95" s="114"/>
      <c r="I95" s="114"/>
    </row>
    <row r="96" spans="2:9" x14ac:dyDescent="0.25">
      <c r="B96" s="235" t="s">
        <v>867</v>
      </c>
      <c r="C96" s="250">
        <v>157</v>
      </c>
      <c r="H96" s="114"/>
      <c r="I96" s="114"/>
    </row>
    <row r="97" spans="2:9" x14ac:dyDescent="0.25">
      <c r="B97" s="235" t="s">
        <v>867</v>
      </c>
      <c r="C97" s="250">
        <v>156</v>
      </c>
      <c r="H97" s="114"/>
      <c r="I97" s="114"/>
    </row>
    <row r="98" spans="2:9" x14ac:dyDescent="0.25">
      <c r="B98" s="235" t="s">
        <v>867</v>
      </c>
      <c r="C98" s="250">
        <v>82</v>
      </c>
      <c r="H98" s="114"/>
      <c r="I98" s="114"/>
    </row>
    <row r="99" spans="2:9" x14ac:dyDescent="0.25">
      <c r="B99" s="235" t="s">
        <v>867</v>
      </c>
      <c r="C99" s="250">
        <v>166</v>
      </c>
      <c r="H99" s="114"/>
      <c r="I99" s="114"/>
    </row>
    <row r="100" spans="2:9" x14ac:dyDescent="0.25">
      <c r="B100" s="235" t="s">
        <v>867</v>
      </c>
      <c r="C100" s="250">
        <v>156</v>
      </c>
      <c r="H100" s="114"/>
      <c r="I100" s="114"/>
    </row>
    <row r="101" spans="2:9" x14ac:dyDescent="0.25">
      <c r="B101" s="235" t="s">
        <v>867</v>
      </c>
      <c r="C101" s="250">
        <v>130</v>
      </c>
      <c r="H101" s="114"/>
      <c r="I101" s="138"/>
    </row>
    <row r="102" spans="2:9" x14ac:dyDescent="0.25">
      <c r="B102" s="235" t="s">
        <v>867</v>
      </c>
      <c r="C102" s="250">
        <v>503</v>
      </c>
      <c r="H102" s="114"/>
      <c r="I102" s="138"/>
    </row>
    <row r="103" spans="2:9" x14ac:dyDescent="0.25">
      <c r="B103" s="235" t="s">
        <v>867</v>
      </c>
      <c r="C103" s="250">
        <v>1121</v>
      </c>
    </row>
    <row r="104" spans="2:9" x14ac:dyDescent="0.25">
      <c r="B104" s="235" t="s">
        <v>867</v>
      </c>
      <c r="C104" s="250">
        <v>1451</v>
      </c>
    </row>
    <row r="105" spans="2:9" x14ac:dyDescent="0.25">
      <c r="B105" s="235" t="s">
        <v>867</v>
      </c>
      <c r="C105" s="250">
        <v>273</v>
      </c>
    </row>
    <row r="106" spans="2:9" x14ac:dyDescent="0.25">
      <c r="B106" s="235" t="s">
        <v>867</v>
      </c>
      <c r="C106" s="250">
        <v>750</v>
      </c>
    </row>
    <row r="107" spans="2:9" x14ac:dyDescent="0.25">
      <c r="B107" s="235" t="s">
        <v>867</v>
      </c>
      <c r="C107" s="250">
        <v>750</v>
      </c>
    </row>
    <row r="108" spans="2:9" x14ac:dyDescent="0.25">
      <c r="B108" s="235" t="s">
        <v>867</v>
      </c>
      <c r="C108" s="250">
        <v>872</v>
      </c>
    </row>
    <row r="109" spans="2:9" x14ac:dyDescent="0.25">
      <c r="B109" s="235" t="s">
        <v>867</v>
      </c>
      <c r="C109" s="250">
        <v>781</v>
      </c>
    </row>
    <row r="110" spans="2:9" x14ac:dyDescent="0.25">
      <c r="B110" s="235" t="s">
        <v>867</v>
      </c>
      <c r="C110" s="250">
        <v>254</v>
      </c>
    </row>
    <row r="111" spans="2:9" x14ac:dyDescent="0.25">
      <c r="B111" s="235" t="s">
        <v>867</v>
      </c>
      <c r="C111" s="250">
        <v>264</v>
      </c>
    </row>
    <row r="112" spans="2:9" x14ac:dyDescent="0.25">
      <c r="B112" s="235" t="s">
        <v>867</v>
      </c>
      <c r="C112" s="250">
        <v>728</v>
      </c>
    </row>
    <row r="113" spans="2:9" x14ac:dyDescent="0.25">
      <c r="B113" s="235" t="s">
        <v>868</v>
      </c>
      <c r="C113" s="250">
        <v>1</v>
      </c>
    </row>
    <row r="114" spans="2:9" x14ac:dyDescent="0.25">
      <c r="B114" s="235" t="s">
        <v>868</v>
      </c>
      <c r="C114" s="250">
        <v>1</v>
      </c>
    </row>
    <row r="115" spans="2:9" x14ac:dyDescent="0.25">
      <c r="B115" s="235" t="s">
        <v>868</v>
      </c>
      <c r="C115" s="250">
        <v>1</v>
      </c>
    </row>
    <row r="116" spans="2:9" x14ac:dyDescent="0.25">
      <c r="B116" s="235" t="s">
        <v>868</v>
      </c>
      <c r="C116" s="250">
        <v>4</v>
      </c>
    </row>
    <row r="117" spans="2:9" x14ac:dyDescent="0.25">
      <c r="B117" s="235" t="s">
        <v>868</v>
      </c>
      <c r="C117" s="250">
        <v>4</v>
      </c>
    </row>
    <row r="118" spans="2:9" x14ac:dyDescent="0.25">
      <c r="B118" s="235" t="s">
        <v>868</v>
      </c>
      <c r="C118" s="250">
        <v>1</v>
      </c>
    </row>
    <row r="119" spans="2:9" x14ac:dyDescent="0.25">
      <c r="B119" s="235" t="s">
        <v>868</v>
      </c>
      <c r="C119" s="250">
        <v>1</v>
      </c>
    </row>
    <row r="120" spans="2:9" x14ac:dyDescent="0.25">
      <c r="B120" s="235" t="s">
        <v>868</v>
      </c>
      <c r="C120" s="250">
        <v>1</v>
      </c>
    </row>
    <row r="121" spans="2:9" x14ac:dyDescent="0.25">
      <c r="B121" s="235" t="s">
        <v>868</v>
      </c>
      <c r="C121" s="250">
        <v>1</v>
      </c>
    </row>
    <row r="122" spans="2:9" x14ac:dyDescent="0.25">
      <c r="B122" s="235" t="s">
        <v>868</v>
      </c>
      <c r="C122" s="250">
        <v>1</v>
      </c>
    </row>
    <row r="123" spans="2:9" x14ac:dyDescent="0.25">
      <c r="B123" s="235" t="s">
        <v>868</v>
      </c>
      <c r="C123" s="250">
        <v>1</v>
      </c>
    </row>
    <row r="124" spans="2:9" x14ac:dyDescent="0.25">
      <c r="B124" s="235" t="s">
        <v>868</v>
      </c>
      <c r="C124" s="250">
        <v>1</v>
      </c>
    </row>
    <row r="125" spans="2:9" x14ac:dyDescent="0.25">
      <c r="B125" s="235" t="s">
        <v>868</v>
      </c>
      <c r="C125" s="250">
        <v>1</v>
      </c>
    </row>
    <row r="126" spans="2:9" x14ac:dyDescent="0.25">
      <c r="B126" s="235" t="s">
        <v>868</v>
      </c>
      <c r="C126" s="250">
        <v>1</v>
      </c>
    </row>
    <row r="127" spans="2:9" x14ac:dyDescent="0.25">
      <c r="B127" s="235" t="s">
        <v>868</v>
      </c>
      <c r="C127" s="250">
        <v>1</v>
      </c>
      <c r="H127" s="114"/>
      <c r="I127" s="114"/>
    </row>
    <row r="128" spans="2:9" x14ac:dyDescent="0.25">
      <c r="B128" s="235" t="s">
        <v>868</v>
      </c>
      <c r="C128" s="250">
        <v>1</v>
      </c>
      <c r="H128" s="114"/>
      <c r="I128" s="114"/>
    </row>
    <row r="129" spans="2:9" x14ac:dyDescent="0.25">
      <c r="B129" s="235" t="s">
        <v>868</v>
      </c>
      <c r="C129" s="250">
        <v>1</v>
      </c>
      <c r="H129" s="114"/>
      <c r="I129" s="114"/>
    </row>
    <row r="130" spans="2:9" x14ac:dyDescent="0.25">
      <c r="B130" s="235" t="s">
        <v>868</v>
      </c>
      <c r="C130" s="250">
        <v>1</v>
      </c>
      <c r="H130" s="114"/>
      <c r="I130" s="114"/>
    </row>
    <row r="131" spans="2:9" x14ac:dyDescent="0.25">
      <c r="B131" s="235" t="s">
        <v>868</v>
      </c>
      <c r="C131" s="250">
        <v>4</v>
      </c>
      <c r="H131" s="114"/>
      <c r="I131" s="114"/>
    </row>
    <row r="132" spans="2:9" x14ac:dyDescent="0.25">
      <c r="B132" s="235" t="s">
        <v>868</v>
      </c>
      <c r="C132" s="250">
        <v>4</v>
      </c>
      <c r="H132" s="114"/>
      <c r="I132" s="114"/>
    </row>
    <row r="133" spans="2:9" x14ac:dyDescent="0.25">
      <c r="B133" s="235" t="s">
        <v>868</v>
      </c>
      <c r="C133" s="250">
        <v>1</v>
      </c>
      <c r="H133" s="114"/>
      <c r="I133" s="114"/>
    </row>
    <row r="134" spans="2:9" x14ac:dyDescent="0.25">
      <c r="B134" s="235" t="s">
        <v>868</v>
      </c>
      <c r="C134" s="250">
        <v>1</v>
      </c>
      <c r="H134" s="114"/>
      <c r="I134" s="114"/>
    </row>
    <row r="135" spans="2:9" x14ac:dyDescent="0.25">
      <c r="B135" s="235" t="s">
        <v>868</v>
      </c>
      <c r="C135" s="250">
        <v>1</v>
      </c>
      <c r="H135" s="114"/>
      <c r="I135" s="114"/>
    </row>
    <row r="136" spans="2:9" x14ac:dyDescent="0.25">
      <c r="B136" s="235" t="s">
        <v>868</v>
      </c>
      <c r="C136" s="250">
        <v>1</v>
      </c>
      <c r="H136" s="114"/>
      <c r="I136" s="114"/>
    </row>
    <row r="137" spans="2:9" x14ac:dyDescent="0.25">
      <c r="B137" s="235" t="s">
        <v>868</v>
      </c>
      <c r="C137" s="250">
        <v>1</v>
      </c>
      <c r="H137" s="114"/>
      <c r="I137" s="114"/>
    </row>
    <row r="138" spans="2:9" x14ac:dyDescent="0.25">
      <c r="B138" s="235" t="s">
        <v>868</v>
      </c>
      <c r="C138" s="250">
        <v>1</v>
      </c>
      <c r="H138" s="114"/>
      <c r="I138" s="114"/>
    </row>
    <row r="139" spans="2:9" x14ac:dyDescent="0.25">
      <c r="B139" s="235" t="s">
        <v>868</v>
      </c>
      <c r="C139" s="250">
        <v>1</v>
      </c>
      <c r="H139" s="114"/>
      <c r="I139" s="114"/>
    </row>
    <row r="140" spans="2:9" x14ac:dyDescent="0.25">
      <c r="B140" s="235" t="s">
        <v>868</v>
      </c>
      <c r="C140" s="250">
        <v>1</v>
      </c>
      <c r="H140" s="114"/>
      <c r="I140" s="114"/>
    </row>
    <row r="141" spans="2:9" x14ac:dyDescent="0.25">
      <c r="B141" s="235" t="s">
        <v>868</v>
      </c>
      <c r="C141" s="250">
        <v>1</v>
      </c>
      <c r="H141" s="114"/>
      <c r="I141" s="114"/>
    </row>
    <row r="142" spans="2:9" x14ac:dyDescent="0.25">
      <c r="B142" s="235" t="s">
        <v>868</v>
      </c>
      <c r="C142" s="250">
        <v>1</v>
      </c>
      <c r="H142" s="114"/>
      <c r="I142" s="114"/>
    </row>
    <row r="143" spans="2:9" x14ac:dyDescent="0.25">
      <c r="B143" s="235" t="s">
        <v>868</v>
      </c>
      <c r="C143" s="250">
        <v>1</v>
      </c>
      <c r="H143" s="114"/>
      <c r="I143" s="114"/>
    </row>
    <row r="144" spans="2:9" x14ac:dyDescent="0.25">
      <c r="B144" s="235" t="s">
        <v>868</v>
      </c>
      <c r="C144" s="250">
        <v>1</v>
      </c>
      <c r="H144" s="114"/>
      <c r="I144" s="114"/>
    </row>
    <row r="145" spans="2:9" x14ac:dyDescent="0.25">
      <c r="B145" s="235" t="s">
        <v>868</v>
      </c>
      <c r="C145" s="250">
        <v>1</v>
      </c>
      <c r="H145" s="114"/>
      <c r="I145" s="114"/>
    </row>
    <row r="146" spans="2:9" x14ac:dyDescent="0.25">
      <c r="B146" s="235" t="s">
        <v>868</v>
      </c>
      <c r="C146" s="250">
        <v>1</v>
      </c>
      <c r="H146" s="147"/>
      <c r="I146" s="147"/>
    </row>
    <row r="147" spans="2:9" x14ac:dyDescent="0.25">
      <c r="B147" s="235" t="s">
        <v>868</v>
      </c>
      <c r="C147" s="250">
        <v>1</v>
      </c>
      <c r="H147" s="114"/>
      <c r="I147" s="114"/>
    </row>
    <row r="148" spans="2:9" x14ac:dyDescent="0.25">
      <c r="B148" s="235" t="s">
        <v>868</v>
      </c>
      <c r="C148" s="250">
        <v>1</v>
      </c>
      <c r="H148" s="147"/>
      <c r="I148" s="147"/>
    </row>
    <row r="149" spans="2:9" x14ac:dyDescent="0.25">
      <c r="B149" s="235" t="s">
        <v>868</v>
      </c>
      <c r="C149" s="250">
        <v>1</v>
      </c>
      <c r="H149" s="114"/>
      <c r="I149" s="114"/>
    </row>
    <row r="150" spans="2:9" x14ac:dyDescent="0.25">
      <c r="B150" s="235" t="s">
        <v>868</v>
      </c>
      <c r="C150" s="250">
        <v>1</v>
      </c>
      <c r="H150" s="114"/>
      <c r="I150" s="114"/>
    </row>
    <row r="151" spans="2:9" x14ac:dyDescent="0.25">
      <c r="B151" s="235" t="s">
        <v>868</v>
      </c>
      <c r="C151" s="250">
        <v>1</v>
      </c>
      <c r="H151" s="114"/>
      <c r="I151" s="114"/>
    </row>
    <row r="152" spans="2:9" x14ac:dyDescent="0.25">
      <c r="B152" s="235" t="s">
        <v>868</v>
      </c>
      <c r="C152" s="250">
        <v>1</v>
      </c>
      <c r="H152" s="114"/>
      <c r="I152" s="114"/>
    </row>
    <row r="153" spans="2:9" x14ac:dyDescent="0.25">
      <c r="B153" s="235" t="s">
        <v>868</v>
      </c>
      <c r="C153" s="250">
        <v>1</v>
      </c>
      <c r="H153" s="114"/>
      <c r="I153" s="114"/>
    </row>
    <row r="154" spans="2:9" x14ac:dyDescent="0.25">
      <c r="B154" s="235" t="s">
        <v>868</v>
      </c>
      <c r="C154" s="250">
        <v>1</v>
      </c>
      <c r="H154" s="114"/>
      <c r="I154" s="114"/>
    </row>
    <row r="155" spans="2:9" x14ac:dyDescent="0.25">
      <c r="B155" s="235" t="s">
        <v>868</v>
      </c>
      <c r="C155" s="250">
        <v>1</v>
      </c>
      <c r="H155" s="114"/>
      <c r="I155" s="114"/>
    </row>
    <row r="156" spans="2:9" x14ac:dyDescent="0.25">
      <c r="B156" s="235" t="s">
        <v>868</v>
      </c>
      <c r="C156" s="250">
        <v>1</v>
      </c>
      <c r="H156" s="114"/>
      <c r="I156" s="114"/>
    </row>
    <row r="157" spans="2:9" x14ac:dyDescent="0.25">
      <c r="B157" s="235" t="s">
        <v>868</v>
      </c>
      <c r="C157" s="250">
        <v>1</v>
      </c>
      <c r="H157" s="114"/>
      <c r="I157" s="114"/>
    </row>
    <row r="158" spans="2:9" x14ac:dyDescent="0.25">
      <c r="B158" s="235" t="s">
        <v>868</v>
      </c>
      <c r="C158" s="250">
        <v>1</v>
      </c>
      <c r="H158" s="114"/>
      <c r="I158" s="114"/>
    </row>
    <row r="159" spans="2:9" x14ac:dyDescent="0.25">
      <c r="B159" s="235" t="s">
        <v>868</v>
      </c>
      <c r="C159" s="250">
        <v>1</v>
      </c>
      <c r="H159" s="114"/>
      <c r="I159" s="114"/>
    </row>
    <row r="160" spans="2:9" x14ac:dyDescent="0.25">
      <c r="B160" s="235" t="s">
        <v>868</v>
      </c>
      <c r="C160" s="250">
        <v>1</v>
      </c>
      <c r="H160" s="114"/>
      <c r="I160" s="114"/>
    </row>
    <row r="161" spans="2:9" x14ac:dyDescent="0.25">
      <c r="B161" s="235" t="s">
        <v>868</v>
      </c>
      <c r="C161" s="250">
        <v>1</v>
      </c>
      <c r="H161" s="114"/>
      <c r="I161" s="114"/>
    </row>
    <row r="162" spans="2:9" x14ac:dyDescent="0.25">
      <c r="B162" s="235" t="s">
        <v>868</v>
      </c>
      <c r="C162" s="250">
        <v>1</v>
      </c>
      <c r="H162" s="114"/>
      <c r="I162" s="114"/>
    </row>
    <row r="163" spans="2:9" x14ac:dyDescent="0.25">
      <c r="B163" s="235" t="s">
        <v>868</v>
      </c>
      <c r="C163" s="250">
        <v>1</v>
      </c>
      <c r="H163" s="114"/>
      <c r="I163" s="114"/>
    </row>
    <row r="164" spans="2:9" x14ac:dyDescent="0.25">
      <c r="B164" s="235" t="s">
        <v>868</v>
      </c>
      <c r="C164" s="250">
        <v>1</v>
      </c>
      <c r="H164" s="114"/>
      <c r="I164" s="114"/>
    </row>
    <row r="165" spans="2:9" x14ac:dyDescent="0.25">
      <c r="B165" s="235" t="s">
        <v>868</v>
      </c>
      <c r="C165" s="250">
        <v>1</v>
      </c>
      <c r="H165" s="114"/>
      <c r="I165" s="114"/>
    </row>
    <row r="166" spans="2:9" x14ac:dyDescent="0.25">
      <c r="B166" s="235" t="s">
        <v>868</v>
      </c>
      <c r="C166" s="250">
        <v>1</v>
      </c>
      <c r="H166" s="114"/>
      <c r="I166" s="114"/>
    </row>
    <row r="167" spans="2:9" x14ac:dyDescent="0.25">
      <c r="B167" s="235" t="s">
        <v>868</v>
      </c>
      <c r="C167" s="250">
        <v>1</v>
      </c>
      <c r="H167" s="114"/>
      <c r="I167" s="114"/>
    </row>
    <row r="168" spans="2:9" x14ac:dyDescent="0.25">
      <c r="B168" s="236" t="s">
        <v>555</v>
      </c>
      <c r="C168" s="254">
        <v>350</v>
      </c>
      <c r="H168" s="114"/>
      <c r="I168" s="114"/>
    </row>
    <row r="169" spans="2:9" x14ac:dyDescent="0.25">
      <c r="B169" s="236" t="s">
        <v>555</v>
      </c>
      <c r="C169" s="249">
        <v>200</v>
      </c>
      <c r="H169" s="114"/>
      <c r="I169" s="114"/>
    </row>
    <row r="170" spans="2:9" x14ac:dyDescent="0.25">
      <c r="B170" s="236" t="s">
        <v>555</v>
      </c>
      <c r="C170" s="250">
        <v>3400</v>
      </c>
      <c r="H170" s="114"/>
      <c r="I170" s="114"/>
    </row>
    <row r="171" spans="2:9" x14ac:dyDescent="0.25">
      <c r="B171" s="236" t="s">
        <v>555</v>
      </c>
      <c r="C171" s="250">
        <v>1200</v>
      </c>
      <c r="H171" s="114"/>
      <c r="I171" s="114"/>
    </row>
    <row r="172" spans="2:9" x14ac:dyDescent="0.25">
      <c r="B172" s="236" t="s">
        <v>555</v>
      </c>
      <c r="C172" s="249">
        <v>56697</v>
      </c>
      <c r="H172" s="114"/>
      <c r="I172" s="114"/>
    </row>
    <row r="173" spans="2:9" x14ac:dyDescent="0.25">
      <c r="B173" s="237" t="s">
        <v>701</v>
      </c>
      <c r="C173" s="249">
        <v>2000</v>
      </c>
      <c r="H173" s="114"/>
      <c r="I173" s="114"/>
    </row>
    <row r="174" spans="2:9" x14ac:dyDescent="0.25">
      <c r="B174" s="235" t="s">
        <v>701</v>
      </c>
      <c r="C174" s="250">
        <v>2000</v>
      </c>
      <c r="H174" s="114"/>
      <c r="I174" s="114"/>
    </row>
    <row r="175" spans="2:9" x14ac:dyDescent="0.25">
      <c r="B175" s="237" t="s">
        <v>701</v>
      </c>
      <c r="C175" s="249">
        <v>800</v>
      </c>
      <c r="H175" s="114"/>
      <c r="I175" s="114"/>
    </row>
    <row r="176" spans="2:9" x14ac:dyDescent="0.25">
      <c r="B176" s="236" t="s">
        <v>557</v>
      </c>
      <c r="C176" s="249">
        <v>0.65</v>
      </c>
      <c r="H176" s="114"/>
      <c r="I176" s="114"/>
    </row>
    <row r="177" spans="2:9" x14ac:dyDescent="0.25">
      <c r="B177" s="237" t="s">
        <v>557</v>
      </c>
      <c r="C177" s="249">
        <v>2.903</v>
      </c>
      <c r="H177" s="114"/>
      <c r="I177" s="114"/>
    </row>
    <row r="178" spans="2:9" x14ac:dyDescent="0.25">
      <c r="B178" s="236" t="s">
        <v>557</v>
      </c>
      <c r="C178" s="254">
        <v>2</v>
      </c>
      <c r="H178" s="114"/>
      <c r="I178" s="114"/>
    </row>
    <row r="179" spans="2:9" x14ac:dyDescent="0.25">
      <c r="B179" s="234" t="s">
        <v>557</v>
      </c>
      <c r="C179" s="249">
        <v>3.69</v>
      </c>
      <c r="H179" s="114"/>
      <c r="I179" s="114"/>
    </row>
    <row r="180" spans="2:9" x14ac:dyDescent="0.25">
      <c r="B180" s="235" t="s">
        <v>557</v>
      </c>
      <c r="C180" s="254">
        <v>3.69</v>
      </c>
      <c r="H180" s="114"/>
      <c r="I180" s="114"/>
    </row>
    <row r="181" spans="2:9" x14ac:dyDescent="0.25">
      <c r="B181" s="234" t="s">
        <v>557</v>
      </c>
      <c r="C181" s="254">
        <v>0.60599999999999998</v>
      </c>
      <c r="H181" s="114"/>
      <c r="I181" s="114"/>
    </row>
    <row r="182" spans="2:9" x14ac:dyDescent="0.25">
      <c r="B182" s="234" t="s">
        <v>557</v>
      </c>
      <c r="C182" s="254">
        <v>0.32400000000000001</v>
      </c>
      <c r="H182" s="114"/>
      <c r="I182" s="114"/>
    </row>
    <row r="183" spans="2:9" x14ac:dyDescent="0.25">
      <c r="B183" s="235" t="s">
        <v>557</v>
      </c>
      <c r="C183" s="249">
        <v>9.6349999999999998</v>
      </c>
      <c r="H183" s="114"/>
      <c r="I183" s="114"/>
    </row>
    <row r="184" spans="2:9" x14ac:dyDescent="0.25">
      <c r="B184" s="235" t="s">
        <v>557</v>
      </c>
      <c r="C184" s="249">
        <v>0.49</v>
      </c>
      <c r="H184" s="114"/>
      <c r="I184" s="114"/>
    </row>
    <row r="185" spans="2:9" x14ac:dyDescent="0.25">
      <c r="B185" s="235" t="s">
        <v>557</v>
      </c>
      <c r="C185" s="254">
        <v>0.68799999999999994</v>
      </c>
      <c r="H185" s="114"/>
      <c r="I185" s="114"/>
    </row>
    <row r="186" spans="2:9" x14ac:dyDescent="0.25">
      <c r="B186" s="239" t="s">
        <v>557</v>
      </c>
      <c r="C186" s="248">
        <v>0.40400000000000003</v>
      </c>
      <c r="H186" s="114"/>
      <c r="I186" s="114"/>
    </row>
    <row r="187" spans="2:9" x14ac:dyDescent="0.25">
      <c r="B187" s="235" t="s">
        <v>557</v>
      </c>
      <c r="C187" s="248">
        <v>0.19650000000000001</v>
      </c>
      <c r="H187" s="114"/>
      <c r="I187" s="114"/>
    </row>
    <row r="188" spans="2:9" x14ac:dyDescent="0.25">
      <c r="B188" s="235" t="s">
        <v>557</v>
      </c>
      <c r="C188" s="248">
        <v>1.159</v>
      </c>
      <c r="H188" s="114"/>
      <c r="I188" s="114"/>
    </row>
    <row r="189" spans="2:9" x14ac:dyDescent="0.25">
      <c r="B189" s="235" t="s">
        <v>557</v>
      </c>
      <c r="C189" s="254">
        <v>1.8</v>
      </c>
      <c r="H189" s="114"/>
      <c r="I189" s="114"/>
    </row>
    <row r="190" spans="2:9" x14ac:dyDescent="0.25">
      <c r="B190" s="235" t="s">
        <v>557</v>
      </c>
      <c r="C190" s="254">
        <v>0.3</v>
      </c>
      <c r="H190" s="114"/>
      <c r="I190" s="114"/>
    </row>
    <row r="191" spans="2:9" x14ac:dyDescent="0.25">
      <c r="B191" s="235" t="s">
        <v>557</v>
      </c>
      <c r="C191" s="254">
        <v>0.15</v>
      </c>
      <c r="H191" s="114"/>
      <c r="I191" s="114"/>
    </row>
    <row r="192" spans="2:9" x14ac:dyDescent="0.25">
      <c r="B192" s="235" t="s">
        <v>557</v>
      </c>
      <c r="C192" s="249">
        <v>1.1000000000000001</v>
      </c>
      <c r="H192" s="114"/>
      <c r="I192" s="114"/>
    </row>
    <row r="193" spans="2:9" x14ac:dyDescent="0.25">
      <c r="B193" s="234" t="s">
        <v>676</v>
      </c>
      <c r="C193" s="254">
        <v>0.4</v>
      </c>
      <c r="H193" s="114"/>
      <c r="I193" s="114"/>
    </row>
    <row r="194" spans="2:9" x14ac:dyDescent="0.25">
      <c r="B194" s="234" t="s">
        <v>676</v>
      </c>
      <c r="C194" s="254">
        <v>0.08</v>
      </c>
      <c r="H194" s="114"/>
      <c r="I194" s="114"/>
    </row>
    <row r="195" spans="2:9" x14ac:dyDescent="0.25">
      <c r="B195" s="234" t="s">
        <v>676</v>
      </c>
      <c r="C195" s="254">
        <v>8.2600000000000007E-2</v>
      </c>
      <c r="H195" s="114"/>
      <c r="I195" s="114"/>
    </row>
    <row r="196" spans="2:9" x14ac:dyDescent="0.25">
      <c r="B196" s="235" t="s">
        <v>654</v>
      </c>
      <c r="C196" s="254">
        <v>762</v>
      </c>
      <c r="H196" s="114"/>
      <c r="I196" s="114"/>
    </row>
    <row r="197" spans="2:9" x14ac:dyDescent="0.25">
      <c r="B197" s="235" t="s">
        <v>654</v>
      </c>
      <c r="C197" s="254">
        <v>473</v>
      </c>
      <c r="H197" s="114"/>
      <c r="I197" s="114"/>
    </row>
    <row r="198" spans="2:9" x14ac:dyDescent="0.25">
      <c r="B198" s="236" t="s">
        <v>654</v>
      </c>
      <c r="C198" s="249">
        <v>290</v>
      </c>
      <c r="H198" s="114"/>
      <c r="I198" s="114"/>
    </row>
    <row r="199" spans="2:9" x14ac:dyDescent="0.25">
      <c r="B199" s="236" t="s">
        <v>654</v>
      </c>
      <c r="C199" s="249">
        <v>250</v>
      </c>
      <c r="H199" s="114"/>
      <c r="I199" s="114"/>
    </row>
    <row r="200" spans="2:9" x14ac:dyDescent="0.25">
      <c r="B200" s="236" t="s">
        <v>654</v>
      </c>
      <c r="C200" s="249">
        <v>500</v>
      </c>
      <c r="H200" s="114"/>
      <c r="I200" s="114"/>
    </row>
    <row r="201" spans="2:9" x14ac:dyDescent="0.25">
      <c r="B201" s="235" t="s">
        <v>654</v>
      </c>
      <c r="C201" s="254">
        <v>180</v>
      </c>
      <c r="H201" s="114"/>
      <c r="I201" s="114"/>
    </row>
    <row r="202" spans="2:9" x14ac:dyDescent="0.25">
      <c r="B202" s="235" t="s">
        <v>654</v>
      </c>
      <c r="C202" s="254">
        <v>300</v>
      </c>
      <c r="H202" s="114"/>
      <c r="I202" s="114"/>
    </row>
    <row r="203" spans="2:9" x14ac:dyDescent="0.25">
      <c r="B203" s="235" t="s">
        <v>654</v>
      </c>
      <c r="C203" s="254">
        <v>1</v>
      </c>
      <c r="H203" s="114"/>
      <c r="I203" s="114"/>
    </row>
    <row r="204" spans="2:9" x14ac:dyDescent="0.25">
      <c r="B204" s="235" t="s">
        <v>654</v>
      </c>
      <c r="C204" s="254">
        <v>531</v>
      </c>
      <c r="H204" s="114"/>
      <c r="I204" s="114"/>
    </row>
    <row r="205" spans="2:9" x14ac:dyDescent="0.25">
      <c r="B205" s="240" t="s">
        <v>654</v>
      </c>
      <c r="C205" s="246">
        <v>200</v>
      </c>
      <c r="H205" s="114"/>
      <c r="I205" s="114"/>
    </row>
    <row r="206" spans="2:9" x14ac:dyDescent="0.25">
      <c r="B206" s="240" t="s">
        <v>654</v>
      </c>
      <c r="C206" s="246">
        <v>200</v>
      </c>
      <c r="H206" s="114"/>
      <c r="I206" s="114"/>
    </row>
    <row r="207" spans="2:9" x14ac:dyDescent="0.25">
      <c r="B207" s="240" t="s">
        <v>654</v>
      </c>
      <c r="C207" s="246">
        <v>225</v>
      </c>
      <c r="H207" s="114"/>
      <c r="I207" s="114"/>
    </row>
    <row r="208" spans="2:9" x14ac:dyDescent="0.25">
      <c r="B208" s="240" t="s">
        <v>654</v>
      </c>
      <c r="C208" s="246">
        <v>20</v>
      </c>
      <c r="H208" s="114"/>
      <c r="I208" s="114"/>
    </row>
    <row r="209" spans="2:9" x14ac:dyDescent="0.25">
      <c r="B209" s="240" t="s">
        <v>654</v>
      </c>
      <c r="C209" s="250">
        <v>180</v>
      </c>
      <c r="H209" s="114"/>
      <c r="I209" s="114"/>
    </row>
    <row r="210" spans="2:9" x14ac:dyDescent="0.25">
      <c r="B210" s="240" t="s">
        <v>654</v>
      </c>
      <c r="C210" s="249">
        <v>185</v>
      </c>
      <c r="H210" s="114"/>
      <c r="I210" s="114"/>
    </row>
    <row r="211" spans="2:9" x14ac:dyDescent="0.25">
      <c r="B211" s="236" t="s">
        <v>654</v>
      </c>
      <c r="C211" s="249">
        <v>1090</v>
      </c>
      <c r="H211" s="114"/>
      <c r="I211" s="114"/>
    </row>
    <row r="212" spans="2:9" x14ac:dyDescent="0.25">
      <c r="B212" s="240" t="s">
        <v>654</v>
      </c>
      <c r="C212" s="249">
        <v>192</v>
      </c>
      <c r="H212" s="114"/>
      <c r="I212" s="114"/>
    </row>
    <row r="213" spans="2:9" x14ac:dyDescent="0.25">
      <c r="B213" s="240" t="s">
        <v>654</v>
      </c>
      <c r="C213" s="249">
        <v>50</v>
      </c>
      <c r="H213" s="114"/>
      <c r="I213" s="114"/>
    </row>
    <row r="214" spans="2:9" x14ac:dyDescent="0.25">
      <c r="B214" s="240" t="s">
        <v>654</v>
      </c>
      <c r="C214" s="249">
        <v>104</v>
      </c>
      <c r="H214" s="114"/>
      <c r="I214" s="114"/>
    </row>
    <row r="215" spans="2:9" x14ac:dyDescent="0.25">
      <c r="B215" s="235" t="s">
        <v>654</v>
      </c>
      <c r="C215" s="255">
        <v>756</v>
      </c>
      <c r="H215" s="114"/>
      <c r="I215" s="114"/>
    </row>
    <row r="216" spans="2:9" x14ac:dyDescent="0.25">
      <c r="B216" s="235" t="s">
        <v>654</v>
      </c>
      <c r="C216" s="250">
        <v>480</v>
      </c>
      <c r="H216" s="114"/>
      <c r="I216" s="114"/>
    </row>
    <row r="217" spans="2:9" x14ac:dyDescent="0.25">
      <c r="B217" s="235" t="s">
        <v>654</v>
      </c>
      <c r="C217" s="254">
        <v>800</v>
      </c>
      <c r="H217" s="114"/>
      <c r="I217" s="114"/>
    </row>
    <row r="218" spans="2:9" x14ac:dyDescent="0.25">
      <c r="B218" s="235" t="s">
        <v>654</v>
      </c>
      <c r="C218" s="250">
        <v>550</v>
      </c>
      <c r="H218" s="114"/>
      <c r="I218" s="114"/>
    </row>
    <row r="219" spans="2:9" x14ac:dyDescent="0.25">
      <c r="B219" s="235" t="s">
        <v>654</v>
      </c>
      <c r="C219" s="250">
        <v>650</v>
      </c>
      <c r="H219" s="114"/>
      <c r="I219" s="114"/>
    </row>
    <row r="220" spans="2:9" x14ac:dyDescent="0.25">
      <c r="B220" s="235" t="s">
        <v>654</v>
      </c>
      <c r="C220" s="250">
        <v>1700</v>
      </c>
      <c r="H220" s="114"/>
      <c r="I220" s="114"/>
    </row>
    <row r="221" spans="2:9" x14ac:dyDescent="0.25">
      <c r="B221" s="235" t="s">
        <v>654</v>
      </c>
      <c r="C221" s="250">
        <v>206</v>
      </c>
      <c r="H221" s="114"/>
      <c r="I221" s="114"/>
    </row>
    <row r="222" spans="2:9" x14ac:dyDescent="0.25">
      <c r="B222" s="235" t="s">
        <v>654</v>
      </c>
      <c r="C222" s="250">
        <v>144</v>
      </c>
      <c r="H222" s="114"/>
      <c r="I222" s="114"/>
    </row>
    <row r="223" spans="2:9" x14ac:dyDescent="0.25">
      <c r="B223" s="235" t="s">
        <v>654</v>
      </c>
      <c r="C223" s="250">
        <v>245</v>
      </c>
      <c r="H223" s="114"/>
      <c r="I223" s="114"/>
    </row>
    <row r="224" spans="2:9" x14ac:dyDescent="0.25">
      <c r="B224" s="235" t="s">
        <v>654</v>
      </c>
      <c r="C224" s="250">
        <v>732</v>
      </c>
      <c r="H224" s="114"/>
      <c r="I224" s="114"/>
    </row>
    <row r="225" spans="2:9" x14ac:dyDescent="0.25">
      <c r="B225" s="235" t="s">
        <v>654</v>
      </c>
      <c r="C225" s="250">
        <v>891</v>
      </c>
      <c r="H225" s="114"/>
      <c r="I225" s="114"/>
    </row>
    <row r="226" spans="2:9" x14ac:dyDescent="0.25">
      <c r="B226" s="236" t="s">
        <v>559</v>
      </c>
      <c r="C226" s="249">
        <v>7200</v>
      </c>
      <c r="H226" s="114"/>
      <c r="I226" s="114"/>
    </row>
    <row r="227" spans="2:9" x14ac:dyDescent="0.25">
      <c r="B227" s="236" t="s">
        <v>559</v>
      </c>
      <c r="C227" s="249">
        <v>5410</v>
      </c>
      <c r="H227" s="114"/>
      <c r="I227" s="114"/>
    </row>
    <row r="228" spans="2:9" x14ac:dyDescent="0.25">
      <c r="B228" s="236" t="s">
        <v>559</v>
      </c>
      <c r="C228" s="249">
        <v>13510</v>
      </c>
      <c r="H228" s="114"/>
      <c r="I228" s="114"/>
    </row>
    <row r="229" spans="2:9" x14ac:dyDescent="0.25">
      <c r="B229" s="234" t="s">
        <v>559</v>
      </c>
      <c r="C229" s="249">
        <v>5000</v>
      </c>
      <c r="H229" s="114"/>
      <c r="I229" s="114"/>
    </row>
    <row r="230" spans="2:9" x14ac:dyDescent="0.25">
      <c r="B230" s="235" t="s">
        <v>559</v>
      </c>
      <c r="C230" s="250">
        <v>34904</v>
      </c>
      <c r="H230" s="114"/>
      <c r="I230" s="114"/>
    </row>
    <row r="231" spans="2:9" x14ac:dyDescent="0.25">
      <c r="B231" s="235" t="s">
        <v>559</v>
      </c>
      <c r="C231" s="250">
        <v>30041</v>
      </c>
      <c r="H231" s="114"/>
      <c r="I231" s="114"/>
    </row>
    <row r="232" spans="2:9" x14ac:dyDescent="0.25">
      <c r="B232" s="234" t="s">
        <v>561</v>
      </c>
      <c r="C232" s="249">
        <v>350000</v>
      </c>
      <c r="H232" s="114"/>
      <c r="I232" s="114"/>
    </row>
    <row r="233" spans="2:9" x14ac:dyDescent="0.25">
      <c r="B233" s="234" t="s">
        <v>561</v>
      </c>
      <c r="C233" s="249">
        <v>30000</v>
      </c>
      <c r="H233" s="114"/>
      <c r="I233" s="114"/>
    </row>
    <row r="234" spans="2:9" x14ac:dyDescent="0.25">
      <c r="B234" s="236" t="s">
        <v>561</v>
      </c>
      <c r="C234" s="254">
        <v>29000</v>
      </c>
      <c r="H234" s="114"/>
      <c r="I234" s="114"/>
    </row>
    <row r="235" spans="2:9" x14ac:dyDescent="0.25">
      <c r="B235" s="236" t="s">
        <v>561</v>
      </c>
      <c r="C235" s="249">
        <v>45254.62</v>
      </c>
      <c r="H235" s="114"/>
      <c r="I235" s="114"/>
    </row>
    <row r="236" spans="2:9" x14ac:dyDescent="0.25">
      <c r="B236" s="236" t="s">
        <v>561</v>
      </c>
      <c r="C236" s="255">
        <v>48650</v>
      </c>
      <c r="H236" s="114"/>
      <c r="I236" s="114"/>
    </row>
    <row r="237" spans="2:9" x14ac:dyDescent="0.25">
      <c r="B237" s="238" t="s">
        <v>561</v>
      </c>
      <c r="C237" s="249">
        <v>15858</v>
      </c>
      <c r="H237" s="114"/>
      <c r="I237" s="114"/>
    </row>
    <row r="238" spans="2:9" x14ac:dyDescent="0.25">
      <c r="B238" s="236" t="s">
        <v>561</v>
      </c>
      <c r="C238" s="254">
        <v>29432</v>
      </c>
      <c r="H238" s="114"/>
      <c r="I238" s="114"/>
    </row>
    <row r="239" spans="2:9" x14ac:dyDescent="0.25">
      <c r="B239" s="236" t="s">
        <v>561</v>
      </c>
      <c r="C239" s="254">
        <v>20000</v>
      </c>
      <c r="H239" s="114"/>
      <c r="I239" s="114"/>
    </row>
    <row r="240" spans="2:9" x14ac:dyDescent="0.25">
      <c r="B240" s="236" t="s">
        <v>561</v>
      </c>
      <c r="C240" s="254">
        <v>19419</v>
      </c>
      <c r="H240" s="114"/>
      <c r="I240" s="114"/>
    </row>
    <row r="241" spans="2:9" x14ac:dyDescent="0.25">
      <c r="B241" s="235" t="s">
        <v>561</v>
      </c>
      <c r="C241" s="254">
        <v>2025</v>
      </c>
      <c r="H241" s="114"/>
      <c r="I241" s="114"/>
    </row>
    <row r="242" spans="2:9" x14ac:dyDescent="0.25">
      <c r="B242" s="235" t="s">
        <v>561</v>
      </c>
      <c r="C242" s="254">
        <v>8821.7199999999993</v>
      </c>
      <c r="H242" s="114"/>
      <c r="I242" s="114"/>
    </row>
    <row r="243" spans="2:9" x14ac:dyDescent="0.25">
      <c r="B243" s="235" t="s">
        <v>561</v>
      </c>
      <c r="C243" s="254">
        <v>509851.88</v>
      </c>
      <c r="H243" s="114"/>
      <c r="I243" s="114"/>
    </row>
    <row r="244" spans="2:9" x14ac:dyDescent="0.25">
      <c r="B244" s="235" t="s">
        <v>561</v>
      </c>
      <c r="C244" s="254">
        <v>35000</v>
      </c>
      <c r="H244" s="114"/>
      <c r="I244" s="114"/>
    </row>
    <row r="245" spans="2:9" x14ac:dyDescent="0.25">
      <c r="B245" s="235" t="s">
        <v>561</v>
      </c>
      <c r="C245" s="254">
        <v>15200</v>
      </c>
      <c r="H245" s="114"/>
      <c r="I245" s="114"/>
    </row>
    <row r="246" spans="2:9" x14ac:dyDescent="0.25">
      <c r="B246" s="236" t="s">
        <v>561</v>
      </c>
      <c r="C246" s="254">
        <v>141600</v>
      </c>
      <c r="H246" s="114"/>
      <c r="I246" s="114"/>
    </row>
    <row r="247" spans="2:9" x14ac:dyDescent="0.25">
      <c r="B247" s="236" t="s">
        <v>561</v>
      </c>
      <c r="C247" s="256">
        <v>68477</v>
      </c>
      <c r="H247" s="114"/>
      <c r="I247" s="114"/>
    </row>
    <row r="248" spans="2:9" x14ac:dyDescent="0.25">
      <c r="B248" s="234" t="s">
        <v>561</v>
      </c>
      <c r="C248" s="254">
        <v>10246.01</v>
      </c>
      <c r="H248" s="114"/>
      <c r="I248" s="114"/>
    </row>
    <row r="249" spans="2:9" x14ac:dyDescent="0.25">
      <c r="B249" s="234" t="s">
        <v>561</v>
      </c>
      <c r="C249" s="254">
        <v>58156</v>
      </c>
      <c r="H249" s="114"/>
      <c r="I249" s="114"/>
    </row>
    <row r="250" spans="2:9" x14ac:dyDescent="0.25">
      <c r="B250" s="234" t="s">
        <v>561</v>
      </c>
      <c r="C250" s="254">
        <v>40001</v>
      </c>
      <c r="H250" s="114"/>
      <c r="I250" s="114"/>
    </row>
    <row r="251" spans="2:9" x14ac:dyDescent="0.25">
      <c r="B251" s="234" t="s">
        <v>561</v>
      </c>
      <c r="C251" s="256">
        <v>10015</v>
      </c>
      <c r="H251" s="114"/>
      <c r="I251" s="114"/>
    </row>
    <row r="252" spans="2:9" x14ac:dyDescent="0.25">
      <c r="B252" s="234" t="s">
        <v>561</v>
      </c>
      <c r="C252" s="254">
        <v>56350</v>
      </c>
      <c r="H252" s="114"/>
      <c r="I252" s="114"/>
    </row>
    <row r="253" spans="2:9" x14ac:dyDescent="0.25">
      <c r="B253" s="235" t="s">
        <v>561</v>
      </c>
      <c r="C253" s="254">
        <v>10000</v>
      </c>
      <c r="H253" s="114"/>
      <c r="I253" s="114"/>
    </row>
    <row r="254" spans="2:9" x14ac:dyDescent="0.25">
      <c r="B254" s="235" t="s">
        <v>561</v>
      </c>
      <c r="C254" s="254">
        <v>10000</v>
      </c>
      <c r="H254" s="114"/>
      <c r="I254" s="114"/>
    </row>
    <row r="255" spans="2:9" x14ac:dyDescent="0.25">
      <c r="B255" s="235" t="s">
        <v>561</v>
      </c>
      <c r="C255" s="254">
        <v>12000</v>
      </c>
      <c r="H255" s="114"/>
      <c r="I255" s="114"/>
    </row>
    <row r="256" spans="2:9" x14ac:dyDescent="0.25">
      <c r="B256" s="235" t="s">
        <v>561</v>
      </c>
      <c r="C256" s="254">
        <v>211000</v>
      </c>
      <c r="H256" s="114"/>
      <c r="I256" s="114"/>
    </row>
    <row r="257" spans="2:9" x14ac:dyDescent="0.25">
      <c r="B257" s="235" t="s">
        <v>561</v>
      </c>
      <c r="C257" s="254">
        <v>200000</v>
      </c>
      <c r="H257" s="114"/>
      <c r="I257" s="114"/>
    </row>
    <row r="258" spans="2:9" x14ac:dyDescent="0.25">
      <c r="B258" s="235" t="s">
        <v>561</v>
      </c>
      <c r="C258" s="254">
        <v>75829</v>
      </c>
      <c r="H258" s="114"/>
      <c r="I258" s="114"/>
    </row>
    <row r="259" spans="2:9" x14ac:dyDescent="0.25">
      <c r="B259" s="236" t="s">
        <v>561</v>
      </c>
      <c r="C259" s="250">
        <v>702</v>
      </c>
      <c r="H259" s="114"/>
      <c r="I259" s="114"/>
    </row>
    <row r="260" spans="2:9" x14ac:dyDescent="0.25">
      <c r="B260" s="236" t="s">
        <v>561</v>
      </c>
      <c r="C260" s="250">
        <v>3534</v>
      </c>
      <c r="H260" s="114"/>
      <c r="I260" s="114"/>
    </row>
    <row r="261" spans="2:9" x14ac:dyDescent="0.25">
      <c r="B261" s="235" t="s">
        <v>563</v>
      </c>
      <c r="C261" s="249">
        <v>5700</v>
      </c>
      <c r="H261" s="114"/>
      <c r="I261" s="114"/>
    </row>
    <row r="262" spans="2:9" x14ac:dyDescent="0.25">
      <c r="B262" s="236" t="s">
        <v>563</v>
      </c>
      <c r="C262" s="254">
        <v>3073</v>
      </c>
      <c r="H262" s="114"/>
      <c r="I262" s="114"/>
    </row>
    <row r="263" spans="2:9" x14ac:dyDescent="0.25">
      <c r="B263" s="236" t="s">
        <v>563</v>
      </c>
      <c r="C263" s="254">
        <v>646</v>
      </c>
      <c r="H263" s="114"/>
      <c r="I263" s="114"/>
    </row>
    <row r="264" spans="2:9" x14ac:dyDescent="0.25">
      <c r="B264" s="236" t="s">
        <v>563</v>
      </c>
      <c r="C264" s="254">
        <v>494</v>
      </c>
      <c r="H264" s="114"/>
      <c r="I264" s="114"/>
    </row>
    <row r="265" spans="2:9" x14ac:dyDescent="0.25">
      <c r="B265" s="236" t="s">
        <v>563</v>
      </c>
      <c r="C265" s="254">
        <v>147</v>
      </c>
      <c r="H265" s="114"/>
      <c r="I265" s="114"/>
    </row>
    <row r="266" spans="2:9" x14ac:dyDescent="0.25">
      <c r="B266" s="235" t="s">
        <v>563</v>
      </c>
      <c r="C266" s="254">
        <v>5726</v>
      </c>
      <c r="H266" s="114"/>
      <c r="I266" s="114"/>
    </row>
    <row r="267" spans="2:9" x14ac:dyDescent="0.25">
      <c r="B267" s="235" t="s">
        <v>563</v>
      </c>
      <c r="C267" s="254">
        <v>2000</v>
      </c>
      <c r="H267" s="114"/>
      <c r="I267" s="114"/>
    </row>
    <row r="268" spans="2:9" x14ac:dyDescent="0.25">
      <c r="B268" s="236" t="s">
        <v>563</v>
      </c>
      <c r="C268" s="250">
        <v>16</v>
      </c>
      <c r="H268" s="114"/>
      <c r="I268" s="114"/>
    </row>
    <row r="269" spans="2:9" x14ac:dyDescent="0.25">
      <c r="B269" s="234" t="s">
        <v>563</v>
      </c>
      <c r="C269" s="250">
        <v>75</v>
      </c>
      <c r="H269" s="114"/>
      <c r="I269" s="114"/>
    </row>
    <row r="270" spans="2:9" x14ac:dyDescent="0.25">
      <c r="B270" s="234" t="s">
        <v>563</v>
      </c>
      <c r="C270" s="250">
        <v>794.02</v>
      </c>
      <c r="H270" s="114"/>
      <c r="I270" s="114"/>
    </row>
    <row r="271" spans="2:9" x14ac:dyDescent="0.25">
      <c r="B271" s="235" t="s">
        <v>670</v>
      </c>
      <c r="C271" s="250">
        <v>100</v>
      </c>
      <c r="H271" s="114"/>
      <c r="I271" s="114"/>
    </row>
    <row r="272" spans="2:9" x14ac:dyDescent="0.25">
      <c r="B272" s="236" t="s">
        <v>567</v>
      </c>
      <c r="C272" s="254">
        <v>338</v>
      </c>
    </row>
    <row r="273" spans="2:3" x14ac:dyDescent="0.25">
      <c r="B273" s="236" t="s">
        <v>567</v>
      </c>
      <c r="C273" s="254">
        <v>163</v>
      </c>
    </row>
    <row r="274" spans="2:3" x14ac:dyDescent="0.25">
      <c r="B274" s="234" t="s">
        <v>567</v>
      </c>
      <c r="C274" s="254">
        <v>877</v>
      </c>
    </row>
    <row r="275" spans="2:3" x14ac:dyDescent="0.25">
      <c r="B275" s="234" t="s">
        <v>567</v>
      </c>
      <c r="C275" s="254">
        <v>5</v>
      </c>
    </row>
    <row r="276" spans="2:3" x14ac:dyDescent="0.25">
      <c r="B276" s="234" t="s">
        <v>567</v>
      </c>
      <c r="C276" s="254">
        <v>0</v>
      </c>
    </row>
    <row r="277" spans="2:3" x14ac:dyDescent="0.25">
      <c r="B277" s="236" t="s">
        <v>567</v>
      </c>
      <c r="C277" s="254">
        <v>748</v>
      </c>
    </row>
    <row r="278" spans="2:3" x14ac:dyDescent="0.25">
      <c r="B278" s="235" t="s">
        <v>567</v>
      </c>
      <c r="C278" s="254">
        <v>323</v>
      </c>
    </row>
    <row r="279" spans="2:3" x14ac:dyDescent="0.25">
      <c r="B279" s="235" t="s">
        <v>567</v>
      </c>
      <c r="C279" s="254">
        <v>55</v>
      </c>
    </row>
    <row r="280" spans="2:3" x14ac:dyDescent="0.25">
      <c r="B280" s="235" t="s">
        <v>567</v>
      </c>
      <c r="C280" s="254">
        <v>131</v>
      </c>
    </row>
    <row r="281" spans="2:3" x14ac:dyDescent="0.25">
      <c r="B281" s="235" t="s">
        <v>567</v>
      </c>
      <c r="C281" s="254">
        <v>672</v>
      </c>
    </row>
    <row r="282" spans="2:3" x14ac:dyDescent="0.25">
      <c r="B282" s="234" t="s">
        <v>567</v>
      </c>
      <c r="C282" s="259">
        <v>332</v>
      </c>
    </row>
    <row r="283" spans="2:3" x14ac:dyDescent="0.25">
      <c r="B283" s="234" t="s">
        <v>567</v>
      </c>
      <c r="C283" s="259">
        <v>725</v>
      </c>
    </row>
    <row r="284" spans="2:3" x14ac:dyDescent="0.25">
      <c r="B284" s="236" t="s">
        <v>567</v>
      </c>
      <c r="C284" s="251">
        <v>1231</v>
      </c>
    </row>
    <row r="285" spans="2:3" x14ac:dyDescent="0.25">
      <c r="B285" s="235" t="s">
        <v>569</v>
      </c>
      <c r="C285" s="254">
        <v>167</v>
      </c>
    </row>
    <row r="286" spans="2:3" x14ac:dyDescent="0.25">
      <c r="B286" s="235" t="s">
        <v>569</v>
      </c>
      <c r="C286" s="254">
        <v>105</v>
      </c>
    </row>
    <row r="287" spans="2:3" x14ac:dyDescent="0.25">
      <c r="B287" s="235" t="s">
        <v>569</v>
      </c>
      <c r="C287" s="254">
        <v>1323</v>
      </c>
    </row>
    <row r="288" spans="2:3" x14ac:dyDescent="0.25">
      <c r="B288" s="235" t="s">
        <v>569</v>
      </c>
      <c r="C288" s="254">
        <v>890</v>
      </c>
    </row>
    <row r="289" spans="2:9" x14ac:dyDescent="0.25">
      <c r="B289" s="235" t="s">
        <v>569</v>
      </c>
      <c r="C289" s="259">
        <v>7452</v>
      </c>
    </row>
    <row r="290" spans="2:9" x14ac:dyDescent="0.25">
      <c r="B290" s="235" t="s">
        <v>569</v>
      </c>
      <c r="C290" s="259">
        <v>400</v>
      </c>
    </row>
    <row r="291" spans="2:9" x14ac:dyDescent="0.25">
      <c r="B291" s="234" t="s">
        <v>569</v>
      </c>
      <c r="C291" s="250">
        <v>2285</v>
      </c>
    </row>
    <row r="292" spans="2:9" x14ac:dyDescent="0.25">
      <c r="B292" s="235" t="s">
        <v>571</v>
      </c>
      <c r="C292" s="254">
        <v>110</v>
      </c>
      <c r="F292" s="113"/>
      <c r="G292" s="113"/>
      <c r="H292" s="113"/>
      <c r="I292" s="113"/>
    </row>
    <row r="293" spans="2:9" x14ac:dyDescent="0.25">
      <c r="B293" s="236" t="s">
        <v>571</v>
      </c>
      <c r="C293" s="250">
        <v>778</v>
      </c>
      <c r="F293" s="113"/>
      <c r="G293" s="113"/>
      <c r="H293" s="113"/>
      <c r="I293" s="113"/>
    </row>
    <row r="294" spans="2:9" x14ac:dyDescent="0.25">
      <c r="B294" s="236" t="s">
        <v>571</v>
      </c>
      <c r="C294" s="250">
        <v>51</v>
      </c>
      <c r="F294" s="113"/>
      <c r="G294" s="113"/>
      <c r="H294" s="113"/>
      <c r="I294" s="113"/>
    </row>
    <row r="295" spans="2:9" x14ac:dyDescent="0.25">
      <c r="B295" s="235" t="s">
        <v>571</v>
      </c>
      <c r="C295" s="250">
        <v>107</v>
      </c>
      <c r="F295" s="113"/>
      <c r="G295" s="113"/>
      <c r="H295" s="113"/>
      <c r="I295" s="113"/>
    </row>
    <row r="296" spans="2:9" x14ac:dyDescent="0.25">
      <c r="B296" s="235" t="s">
        <v>571</v>
      </c>
      <c r="C296" s="250">
        <v>288</v>
      </c>
      <c r="F296" s="114"/>
      <c r="G296" s="115"/>
      <c r="H296" s="114"/>
      <c r="I296" s="114"/>
    </row>
    <row r="297" spans="2:9" x14ac:dyDescent="0.25">
      <c r="B297" s="236" t="s">
        <v>571</v>
      </c>
      <c r="C297" s="250">
        <v>748</v>
      </c>
      <c r="F297" s="114"/>
      <c r="G297" s="115"/>
      <c r="H297" s="114"/>
      <c r="I297" s="114"/>
    </row>
    <row r="298" spans="2:9" x14ac:dyDescent="0.25">
      <c r="B298" s="235" t="s">
        <v>571</v>
      </c>
      <c r="C298" s="250">
        <v>416</v>
      </c>
      <c r="F298" s="114"/>
      <c r="G298" s="115"/>
      <c r="H298" s="114"/>
      <c r="I298" s="114"/>
    </row>
    <row r="299" spans="2:9" x14ac:dyDescent="0.25">
      <c r="B299" s="235" t="s">
        <v>571</v>
      </c>
      <c r="C299" s="250">
        <v>114</v>
      </c>
      <c r="F299" s="114"/>
      <c r="G299" s="115"/>
      <c r="H299" s="114"/>
      <c r="I299" s="114"/>
    </row>
    <row r="300" spans="2:9" x14ac:dyDescent="0.25">
      <c r="B300" s="235" t="s">
        <v>571</v>
      </c>
      <c r="C300" s="250">
        <v>478</v>
      </c>
      <c r="F300" s="114"/>
      <c r="G300" s="115"/>
      <c r="H300" s="114"/>
      <c r="I300" s="114"/>
    </row>
    <row r="301" spans="2:9" x14ac:dyDescent="0.25">
      <c r="B301" s="235" t="s">
        <v>571</v>
      </c>
      <c r="C301" s="250">
        <v>744</v>
      </c>
      <c r="F301" s="114"/>
      <c r="G301" s="115"/>
      <c r="H301" s="114"/>
      <c r="I301" s="114"/>
    </row>
    <row r="302" spans="2:9" x14ac:dyDescent="0.25">
      <c r="B302" s="235" t="s">
        <v>571</v>
      </c>
      <c r="C302" s="250">
        <v>536</v>
      </c>
      <c r="F302" s="114"/>
      <c r="G302" s="115"/>
      <c r="H302" s="114"/>
      <c r="I302" s="114"/>
    </row>
    <row r="303" spans="2:9" x14ac:dyDescent="0.25">
      <c r="B303" s="234" t="s">
        <v>571</v>
      </c>
      <c r="C303" s="255">
        <v>551</v>
      </c>
      <c r="F303" s="114"/>
      <c r="G303" s="115"/>
      <c r="H303" s="114"/>
      <c r="I303" s="114"/>
    </row>
    <row r="304" spans="2:9" x14ac:dyDescent="0.25">
      <c r="B304" s="235" t="s">
        <v>571</v>
      </c>
      <c r="C304" s="255">
        <v>1012</v>
      </c>
      <c r="F304" s="114"/>
      <c r="G304" s="115"/>
      <c r="H304" s="114"/>
      <c r="I304" s="114"/>
    </row>
    <row r="305" spans="2:9" x14ac:dyDescent="0.25">
      <c r="B305" s="235" t="s">
        <v>571</v>
      </c>
      <c r="C305" s="254">
        <v>1265</v>
      </c>
      <c r="F305" s="114"/>
      <c r="G305" s="115"/>
      <c r="H305" s="114"/>
      <c r="I305" s="114"/>
    </row>
    <row r="306" spans="2:9" x14ac:dyDescent="0.25">
      <c r="B306" s="236" t="s">
        <v>571</v>
      </c>
      <c r="C306" s="250">
        <v>1812</v>
      </c>
      <c r="F306" s="114"/>
      <c r="G306" s="115"/>
      <c r="H306" s="114"/>
      <c r="I306" s="114"/>
    </row>
    <row r="307" spans="2:9" x14ac:dyDescent="0.25">
      <c r="B307" s="235" t="s">
        <v>573</v>
      </c>
      <c r="C307" s="254">
        <v>3200</v>
      </c>
      <c r="F307" s="114"/>
      <c r="G307" s="115"/>
      <c r="H307" s="114"/>
      <c r="I307" s="114"/>
    </row>
    <row r="308" spans="2:9" x14ac:dyDescent="0.25">
      <c r="B308" s="235" t="s">
        <v>573</v>
      </c>
      <c r="C308" s="254">
        <v>468</v>
      </c>
      <c r="F308" s="114"/>
      <c r="G308" s="115"/>
      <c r="H308" s="114"/>
      <c r="I308" s="114"/>
    </row>
    <row r="309" spans="2:9" x14ac:dyDescent="0.25">
      <c r="B309" s="235" t="s">
        <v>573</v>
      </c>
      <c r="C309" s="254">
        <v>1976</v>
      </c>
      <c r="F309" s="114"/>
      <c r="G309" s="115"/>
      <c r="H309" s="114"/>
      <c r="I309" s="114"/>
    </row>
    <row r="310" spans="2:9" x14ac:dyDescent="0.25">
      <c r="B310" s="235" t="s">
        <v>573</v>
      </c>
      <c r="C310" s="254">
        <v>238</v>
      </c>
      <c r="F310" s="114"/>
      <c r="G310" s="115"/>
      <c r="H310" s="114"/>
      <c r="I310" s="114"/>
    </row>
    <row r="311" spans="2:9" x14ac:dyDescent="0.25">
      <c r="B311" s="235" t="s">
        <v>573</v>
      </c>
      <c r="C311" s="254">
        <v>506</v>
      </c>
      <c r="F311" s="114"/>
      <c r="G311" s="115"/>
      <c r="H311" s="114"/>
      <c r="I311" s="114"/>
    </row>
    <row r="312" spans="2:9" x14ac:dyDescent="0.25">
      <c r="B312" s="236" t="s">
        <v>573</v>
      </c>
      <c r="C312" s="259">
        <v>400</v>
      </c>
      <c r="F312" s="114"/>
      <c r="G312" s="115"/>
      <c r="H312" s="114"/>
      <c r="I312" s="114"/>
    </row>
    <row r="313" spans="2:9" x14ac:dyDescent="0.25">
      <c r="B313" s="236" t="s">
        <v>573</v>
      </c>
      <c r="C313" s="250">
        <v>748</v>
      </c>
      <c r="F313" s="114"/>
      <c r="G313" s="115"/>
      <c r="H313" s="114"/>
      <c r="I313" s="114"/>
    </row>
    <row r="314" spans="2:9" x14ac:dyDescent="0.25">
      <c r="B314" s="235" t="s">
        <v>573</v>
      </c>
      <c r="C314" s="250">
        <v>425</v>
      </c>
    </row>
    <row r="315" spans="2:9" x14ac:dyDescent="0.25">
      <c r="B315" s="234" t="s">
        <v>573</v>
      </c>
      <c r="C315" s="255">
        <v>285</v>
      </c>
    </row>
    <row r="316" spans="2:9" x14ac:dyDescent="0.25">
      <c r="B316" s="234" t="s">
        <v>573</v>
      </c>
      <c r="C316" s="250">
        <v>422</v>
      </c>
    </row>
    <row r="317" spans="2:9" x14ac:dyDescent="0.25">
      <c r="B317" s="236" t="s">
        <v>573</v>
      </c>
      <c r="C317" s="251">
        <v>308292</v>
      </c>
    </row>
    <row r="318" spans="2:9" x14ac:dyDescent="0.25">
      <c r="B318" s="236" t="s">
        <v>869</v>
      </c>
      <c r="C318" s="249">
        <v>5</v>
      </c>
    </row>
    <row r="319" spans="2:9" x14ac:dyDescent="0.25">
      <c r="B319" s="236" t="s">
        <v>577</v>
      </c>
      <c r="C319" s="254">
        <v>2</v>
      </c>
    </row>
    <row r="320" spans="2:9" x14ac:dyDescent="0.25">
      <c r="B320" s="236" t="s">
        <v>577</v>
      </c>
      <c r="C320" s="254">
        <v>1</v>
      </c>
    </row>
    <row r="321" spans="2:3" x14ac:dyDescent="0.25">
      <c r="B321" s="236" t="s">
        <v>577</v>
      </c>
      <c r="C321" s="254">
        <v>3</v>
      </c>
    </row>
    <row r="322" spans="2:3" x14ac:dyDescent="0.25">
      <c r="B322" s="234" t="s">
        <v>579</v>
      </c>
      <c r="C322" s="254">
        <v>27</v>
      </c>
    </row>
    <row r="323" spans="2:3" x14ac:dyDescent="0.25">
      <c r="B323" s="235" t="s">
        <v>579</v>
      </c>
      <c r="C323" s="255">
        <v>38</v>
      </c>
    </row>
    <row r="324" spans="2:3" x14ac:dyDescent="0.25">
      <c r="B324" s="235" t="s">
        <v>680</v>
      </c>
      <c r="C324" s="255">
        <v>2</v>
      </c>
    </row>
    <row r="325" spans="2:3" x14ac:dyDescent="0.25">
      <c r="B325" s="235" t="s">
        <v>678</v>
      </c>
      <c r="C325" s="250">
        <v>1</v>
      </c>
    </row>
    <row r="326" spans="2:3" x14ac:dyDescent="0.25">
      <c r="B326" s="235" t="s">
        <v>678</v>
      </c>
      <c r="C326" s="250">
        <v>2</v>
      </c>
    </row>
    <row r="327" spans="2:3" x14ac:dyDescent="0.25">
      <c r="B327" s="235" t="s">
        <v>678</v>
      </c>
      <c r="C327" s="250">
        <v>1</v>
      </c>
    </row>
    <row r="328" spans="2:3" x14ac:dyDescent="0.25">
      <c r="B328" s="235" t="s">
        <v>672</v>
      </c>
      <c r="C328" s="250">
        <v>1</v>
      </c>
    </row>
    <row r="329" spans="2:3" x14ac:dyDescent="0.25">
      <c r="B329" s="235" t="s">
        <v>674</v>
      </c>
      <c r="C329" s="250">
        <v>1</v>
      </c>
    </row>
    <row r="330" spans="2:3" x14ac:dyDescent="0.25">
      <c r="B330" s="237" t="s">
        <v>581</v>
      </c>
      <c r="C330" s="249">
        <v>1</v>
      </c>
    </row>
    <row r="331" spans="2:3" x14ac:dyDescent="0.25">
      <c r="B331" s="236" t="s">
        <v>581</v>
      </c>
      <c r="C331" s="254">
        <v>1</v>
      </c>
    </row>
    <row r="332" spans="2:3" x14ac:dyDescent="0.25">
      <c r="B332" s="235" t="s">
        <v>581</v>
      </c>
      <c r="C332" s="254">
        <v>1</v>
      </c>
    </row>
    <row r="333" spans="2:3" x14ac:dyDescent="0.25">
      <c r="B333" s="236" t="s">
        <v>581</v>
      </c>
      <c r="C333" s="254">
        <v>1</v>
      </c>
    </row>
    <row r="334" spans="2:3" x14ac:dyDescent="0.25">
      <c r="B334" s="236" t="s">
        <v>581</v>
      </c>
      <c r="C334" s="254">
        <v>1</v>
      </c>
    </row>
    <row r="335" spans="2:3" x14ac:dyDescent="0.25">
      <c r="B335" s="234" t="s">
        <v>581</v>
      </c>
      <c r="C335" s="254">
        <v>1</v>
      </c>
    </row>
    <row r="336" spans="2:3" x14ac:dyDescent="0.25">
      <c r="B336" s="235" t="s">
        <v>581</v>
      </c>
      <c r="C336" s="254">
        <v>1</v>
      </c>
    </row>
    <row r="337" spans="2:3" x14ac:dyDescent="0.25">
      <c r="B337" s="235" t="s">
        <v>581</v>
      </c>
      <c r="C337" s="254">
        <v>1</v>
      </c>
    </row>
    <row r="338" spans="2:3" x14ac:dyDescent="0.25">
      <c r="B338" s="236" t="s">
        <v>581</v>
      </c>
      <c r="C338" s="249">
        <v>1</v>
      </c>
    </row>
    <row r="339" spans="2:3" x14ac:dyDescent="0.25">
      <c r="B339" s="236" t="s">
        <v>581</v>
      </c>
      <c r="C339" s="249">
        <v>1</v>
      </c>
    </row>
    <row r="340" spans="2:3" x14ac:dyDescent="0.25">
      <c r="B340" s="234" t="s">
        <v>581</v>
      </c>
      <c r="C340" s="254">
        <v>1</v>
      </c>
    </row>
    <row r="341" spans="2:3" x14ac:dyDescent="0.25">
      <c r="B341" s="235" t="s">
        <v>581</v>
      </c>
      <c r="C341" s="254">
        <v>1</v>
      </c>
    </row>
    <row r="342" spans="2:3" x14ac:dyDescent="0.25">
      <c r="B342" s="235" t="s">
        <v>581</v>
      </c>
      <c r="C342" s="254">
        <v>1</v>
      </c>
    </row>
    <row r="343" spans="2:3" x14ac:dyDescent="0.25">
      <c r="B343" s="235" t="s">
        <v>581</v>
      </c>
      <c r="C343" s="254">
        <v>1</v>
      </c>
    </row>
    <row r="344" spans="2:3" x14ac:dyDescent="0.25">
      <c r="B344" s="235" t="s">
        <v>581</v>
      </c>
      <c r="C344" s="254">
        <v>1</v>
      </c>
    </row>
    <row r="345" spans="2:3" x14ac:dyDescent="0.25">
      <c r="B345" s="237" t="s">
        <v>871</v>
      </c>
      <c r="C345" s="249">
        <v>1</v>
      </c>
    </row>
    <row r="346" spans="2:3" x14ac:dyDescent="0.25">
      <c r="B346" s="237" t="s">
        <v>871</v>
      </c>
      <c r="C346" s="249">
        <v>1</v>
      </c>
    </row>
    <row r="347" spans="2:3" x14ac:dyDescent="0.25">
      <c r="B347" s="237" t="s">
        <v>871</v>
      </c>
      <c r="C347" s="249">
        <v>1</v>
      </c>
    </row>
    <row r="348" spans="2:3" x14ac:dyDescent="0.25">
      <c r="B348" s="235" t="s">
        <v>660</v>
      </c>
      <c r="C348" s="249">
        <v>0.5</v>
      </c>
    </row>
    <row r="349" spans="2:3" x14ac:dyDescent="0.25">
      <c r="B349" s="234" t="s">
        <v>583</v>
      </c>
      <c r="C349" s="254">
        <v>10000</v>
      </c>
    </row>
    <row r="350" spans="2:3" x14ac:dyDescent="0.25">
      <c r="B350" s="236" t="s">
        <v>583</v>
      </c>
      <c r="C350" s="254">
        <v>200</v>
      </c>
    </row>
    <row r="351" spans="2:3" x14ac:dyDescent="0.25">
      <c r="B351" s="236" t="s">
        <v>583</v>
      </c>
      <c r="C351" s="255">
        <v>3914</v>
      </c>
    </row>
    <row r="352" spans="2:3" x14ac:dyDescent="0.25">
      <c r="B352" s="236" t="s">
        <v>583</v>
      </c>
      <c r="C352" s="255">
        <v>5410</v>
      </c>
    </row>
    <row r="353" spans="2:3" x14ac:dyDescent="0.25">
      <c r="B353" s="236" t="s">
        <v>583</v>
      </c>
      <c r="C353" s="255">
        <v>13510</v>
      </c>
    </row>
    <row r="354" spans="2:3" x14ac:dyDescent="0.25">
      <c r="B354" s="234" t="s">
        <v>583</v>
      </c>
      <c r="C354" s="255">
        <v>5000</v>
      </c>
    </row>
    <row r="355" spans="2:3" x14ac:dyDescent="0.25">
      <c r="B355" s="236" t="s">
        <v>589</v>
      </c>
      <c r="C355" s="254">
        <v>26</v>
      </c>
    </row>
    <row r="356" spans="2:3" x14ac:dyDescent="0.25">
      <c r="B356" s="236" t="s">
        <v>589</v>
      </c>
      <c r="C356" s="254">
        <v>26</v>
      </c>
    </row>
    <row r="357" spans="2:3" x14ac:dyDescent="0.25">
      <c r="B357" s="236" t="s">
        <v>589</v>
      </c>
      <c r="C357" s="254">
        <v>44</v>
      </c>
    </row>
    <row r="358" spans="2:3" x14ac:dyDescent="0.25">
      <c r="B358" s="236" t="s">
        <v>589</v>
      </c>
      <c r="C358" s="254">
        <v>61</v>
      </c>
    </row>
    <row r="359" spans="2:3" x14ac:dyDescent="0.25">
      <c r="B359" s="236" t="s">
        <v>589</v>
      </c>
      <c r="C359" s="254">
        <v>177</v>
      </c>
    </row>
    <row r="360" spans="2:3" x14ac:dyDescent="0.25">
      <c r="B360" s="236" t="s">
        <v>589</v>
      </c>
      <c r="C360" s="254">
        <v>66</v>
      </c>
    </row>
    <row r="361" spans="2:3" x14ac:dyDescent="0.25">
      <c r="B361" s="236" t="s">
        <v>589</v>
      </c>
      <c r="C361" s="254">
        <v>54</v>
      </c>
    </row>
    <row r="362" spans="2:3" x14ac:dyDescent="0.25">
      <c r="B362" s="241" t="s">
        <v>591</v>
      </c>
      <c r="C362" s="247">
        <v>1</v>
      </c>
    </row>
    <row r="363" spans="2:3" x14ac:dyDescent="0.25">
      <c r="B363" s="241" t="s">
        <v>591</v>
      </c>
      <c r="C363" s="247">
        <v>1</v>
      </c>
    </row>
    <row r="364" spans="2:3" x14ac:dyDescent="0.25">
      <c r="B364" s="241" t="s">
        <v>591</v>
      </c>
      <c r="C364" s="247">
        <v>1</v>
      </c>
    </row>
    <row r="365" spans="2:3" x14ac:dyDescent="0.25">
      <c r="B365" s="241" t="s">
        <v>591</v>
      </c>
      <c r="C365" s="247">
        <v>1</v>
      </c>
    </row>
    <row r="366" spans="2:3" x14ac:dyDescent="0.25">
      <c r="B366" s="236" t="s">
        <v>591</v>
      </c>
      <c r="C366" s="254">
        <v>1</v>
      </c>
    </row>
    <row r="367" spans="2:3" x14ac:dyDescent="0.25">
      <c r="B367" s="234" t="s">
        <v>591</v>
      </c>
      <c r="C367" s="249">
        <v>1</v>
      </c>
    </row>
    <row r="368" spans="2:3" x14ac:dyDescent="0.25">
      <c r="B368" s="234" t="s">
        <v>591</v>
      </c>
      <c r="C368" s="254">
        <v>1</v>
      </c>
    </row>
    <row r="369" spans="2:3" x14ac:dyDescent="0.25">
      <c r="B369" s="241" t="s">
        <v>591</v>
      </c>
      <c r="C369" s="249">
        <v>1</v>
      </c>
    </row>
    <row r="370" spans="2:3" x14ac:dyDescent="0.25">
      <c r="B370" s="241" t="s">
        <v>591</v>
      </c>
      <c r="C370" s="263">
        <v>1</v>
      </c>
    </row>
    <row r="371" spans="2:3" x14ac:dyDescent="0.25">
      <c r="B371" s="235" t="s">
        <v>591</v>
      </c>
      <c r="C371" s="250">
        <v>1</v>
      </c>
    </row>
    <row r="372" spans="2:3" x14ac:dyDescent="0.25">
      <c r="B372" s="235" t="s">
        <v>591</v>
      </c>
      <c r="C372" s="261">
        <v>1</v>
      </c>
    </row>
    <row r="373" spans="2:3" x14ac:dyDescent="0.25">
      <c r="B373" s="235" t="s">
        <v>694</v>
      </c>
      <c r="C373" s="250">
        <v>1</v>
      </c>
    </row>
    <row r="374" spans="2:3" x14ac:dyDescent="0.25">
      <c r="B374" s="235" t="s">
        <v>694</v>
      </c>
      <c r="C374" s="250">
        <v>1</v>
      </c>
    </row>
    <row r="375" spans="2:3" x14ac:dyDescent="0.25">
      <c r="B375" s="235" t="s">
        <v>694</v>
      </c>
      <c r="C375" s="250">
        <v>1</v>
      </c>
    </row>
    <row r="376" spans="2:3" x14ac:dyDescent="0.25">
      <c r="B376" s="234" t="s">
        <v>593</v>
      </c>
      <c r="C376" s="249">
        <v>1</v>
      </c>
    </row>
    <row r="377" spans="2:3" x14ac:dyDescent="0.25">
      <c r="B377" s="235" t="s">
        <v>593</v>
      </c>
      <c r="C377" s="254">
        <v>1</v>
      </c>
    </row>
    <row r="378" spans="2:3" x14ac:dyDescent="0.25">
      <c r="B378" s="234" t="s">
        <v>593</v>
      </c>
      <c r="C378" s="254">
        <v>2</v>
      </c>
    </row>
    <row r="379" spans="2:3" x14ac:dyDescent="0.25">
      <c r="B379" s="235" t="s">
        <v>593</v>
      </c>
      <c r="C379" s="250">
        <v>1</v>
      </c>
    </row>
    <row r="380" spans="2:3" x14ac:dyDescent="0.25">
      <c r="B380" s="235" t="s">
        <v>593</v>
      </c>
      <c r="C380" s="250">
        <v>2</v>
      </c>
    </row>
    <row r="381" spans="2:3" x14ac:dyDescent="0.25">
      <c r="B381" s="235" t="s">
        <v>593</v>
      </c>
      <c r="C381" s="250">
        <v>1</v>
      </c>
    </row>
    <row r="382" spans="2:3" x14ac:dyDescent="0.25">
      <c r="B382" s="235" t="s">
        <v>593</v>
      </c>
      <c r="C382" s="250">
        <v>1</v>
      </c>
    </row>
    <row r="383" spans="2:3" x14ac:dyDescent="0.25">
      <c r="B383" s="236" t="s">
        <v>593</v>
      </c>
      <c r="C383" s="255">
        <v>1</v>
      </c>
    </row>
    <row r="384" spans="2:3" x14ac:dyDescent="0.25">
      <c r="B384" s="234" t="s">
        <v>595</v>
      </c>
      <c r="C384" s="249">
        <v>1</v>
      </c>
    </row>
    <row r="385" spans="2:3" x14ac:dyDescent="0.25">
      <c r="B385" s="234" t="s">
        <v>595</v>
      </c>
      <c r="C385" s="254">
        <v>1</v>
      </c>
    </row>
    <row r="386" spans="2:3" x14ac:dyDescent="0.25">
      <c r="B386" s="236" t="s">
        <v>595</v>
      </c>
      <c r="C386" s="254">
        <v>2</v>
      </c>
    </row>
    <row r="387" spans="2:3" x14ac:dyDescent="0.25">
      <c r="B387" s="235" t="s">
        <v>595</v>
      </c>
      <c r="C387" s="250">
        <v>1</v>
      </c>
    </row>
    <row r="388" spans="2:3" x14ac:dyDescent="0.25">
      <c r="B388" s="235" t="s">
        <v>595</v>
      </c>
      <c r="C388" s="250">
        <v>1</v>
      </c>
    </row>
    <row r="389" spans="2:3" x14ac:dyDescent="0.25">
      <c r="B389" s="235" t="s">
        <v>595</v>
      </c>
      <c r="C389" s="250">
        <v>1</v>
      </c>
    </row>
    <row r="390" spans="2:3" x14ac:dyDescent="0.25">
      <c r="B390" s="236" t="s">
        <v>595</v>
      </c>
      <c r="C390" s="254">
        <v>1</v>
      </c>
    </row>
    <row r="391" spans="2:3" x14ac:dyDescent="0.25">
      <c r="B391" s="236" t="s">
        <v>595</v>
      </c>
      <c r="C391" s="254">
        <v>1</v>
      </c>
    </row>
    <row r="392" spans="2:3" x14ac:dyDescent="0.25">
      <c r="B392" s="236" t="s">
        <v>595</v>
      </c>
      <c r="C392" s="254">
        <v>1</v>
      </c>
    </row>
    <row r="393" spans="2:3" x14ac:dyDescent="0.25">
      <c r="B393" s="236" t="s">
        <v>595</v>
      </c>
      <c r="C393" s="254">
        <v>1</v>
      </c>
    </row>
    <row r="394" spans="2:3" x14ac:dyDescent="0.25">
      <c r="B394" s="245" t="s">
        <v>684</v>
      </c>
      <c r="C394" s="246">
        <v>3</v>
      </c>
    </row>
    <row r="395" spans="2:3" x14ac:dyDescent="0.25">
      <c r="B395" s="245" t="s">
        <v>684</v>
      </c>
      <c r="C395" s="250">
        <v>2</v>
      </c>
    </row>
    <row r="396" spans="2:3" x14ac:dyDescent="0.25">
      <c r="B396" s="245" t="s">
        <v>684</v>
      </c>
      <c r="C396" s="250">
        <v>2</v>
      </c>
    </row>
    <row r="397" spans="2:3" x14ac:dyDescent="0.25">
      <c r="B397" s="245" t="s">
        <v>684</v>
      </c>
      <c r="C397" s="250">
        <v>2</v>
      </c>
    </row>
    <row r="398" spans="2:3" x14ac:dyDescent="0.25">
      <c r="B398" s="245" t="s">
        <v>684</v>
      </c>
      <c r="C398" s="246">
        <v>4</v>
      </c>
    </row>
    <row r="399" spans="2:3" x14ac:dyDescent="0.25">
      <c r="B399" s="245" t="s">
        <v>684</v>
      </c>
      <c r="C399" s="246">
        <v>2</v>
      </c>
    </row>
    <row r="400" spans="2:3" x14ac:dyDescent="0.25">
      <c r="B400" s="234" t="s">
        <v>684</v>
      </c>
      <c r="C400" s="250">
        <v>2</v>
      </c>
    </row>
    <row r="401" spans="2:3" x14ac:dyDescent="0.25">
      <c r="B401" s="245" t="s">
        <v>684</v>
      </c>
      <c r="C401" s="249">
        <v>6</v>
      </c>
    </row>
    <row r="402" spans="2:3" x14ac:dyDescent="0.25">
      <c r="B402" s="245" t="s">
        <v>684</v>
      </c>
      <c r="C402" s="249">
        <v>2</v>
      </c>
    </row>
    <row r="403" spans="2:3" x14ac:dyDescent="0.25">
      <c r="B403" s="245" t="s">
        <v>684</v>
      </c>
      <c r="C403" s="249">
        <v>3</v>
      </c>
    </row>
    <row r="404" spans="2:3" x14ac:dyDescent="0.25">
      <c r="B404" s="245" t="s">
        <v>684</v>
      </c>
      <c r="C404" s="249">
        <v>8</v>
      </c>
    </row>
    <row r="405" spans="2:3" x14ac:dyDescent="0.25">
      <c r="B405" s="236" t="s">
        <v>662</v>
      </c>
      <c r="C405" s="254">
        <v>369</v>
      </c>
    </row>
    <row r="406" spans="2:3" x14ac:dyDescent="0.25">
      <c r="B406" s="236" t="s">
        <v>662</v>
      </c>
      <c r="C406" s="254">
        <v>274</v>
      </c>
    </row>
    <row r="407" spans="2:3" x14ac:dyDescent="0.25">
      <c r="B407" s="236" t="s">
        <v>662</v>
      </c>
      <c r="C407" s="254">
        <v>704</v>
      </c>
    </row>
    <row r="408" spans="2:3" x14ac:dyDescent="0.25">
      <c r="B408" s="236" t="s">
        <v>664</v>
      </c>
      <c r="C408" s="255">
        <v>1</v>
      </c>
    </row>
    <row r="409" spans="2:3" x14ac:dyDescent="0.25">
      <c r="B409" s="236" t="s">
        <v>664</v>
      </c>
      <c r="C409" s="255">
        <v>1</v>
      </c>
    </row>
    <row r="410" spans="2:3" x14ac:dyDescent="0.25">
      <c r="B410" s="236" t="s">
        <v>664</v>
      </c>
      <c r="C410" s="255">
        <v>1</v>
      </c>
    </row>
    <row r="411" spans="2:3" x14ac:dyDescent="0.25">
      <c r="B411" s="234" t="s">
        <v>689</v>
      </c>
      <c r="C411" s="254">
        <v>1</v>
      </c>
    </row>
    <row r="412" spans="2:3" x14ac:dyDescent="0.25">
      <c r="B412" s="234" t="s">
        <v>689</v>
      </c>
      <c r="C412" s="254">
        <v>1</v>
      </c>
    </row>
    <row r="413" spans="2:3" x14ac:dyDescent="0.25">
      <c r="B413" s="234" t="s">
        <v>650</v>
      </c>
      <c r="C413" s="254">
        <v>2</v>
      </c>
    </row>
    <row r="414" spans="2:3" x14ac:dyDescent="0.25">
      <c r="B414" s="237" t="s">
        <v>599</v>
      </c>
      <c r="C414" s="249">
        <v>0.23</v>
      </c>
    </row>
    <row r="415" spans="2:3" x14ac:dyDescent="0.25">
      <c r="B415" s="235" t="s">
        <v>599</v>
      </c>
      <c r="C415" s="254">
        <v>0.9</v>
      </c>
    </row>
    <row r="416" spans="2:3" x14ac:dyDescent="0.25">
      <c r="B416" s="236" t="s">
        <v>599</v>
      </c>
      <c r="C416" s="254">
        <v>1</v>
      </c>
    </row>
    <row r="417" spans="2:3" x14ac:dyDescent="0.25">
      <c r="B417" s="236" t="s">
        <v>599</v>
      </c>
      <c r="C417" s="249">
        <v>0.7</v>
      </c>
    </row>
    <row r="418" spans="2:3" x14ac:dyDescent="0.25">
      <c r="B418" s="236" t="s">
        <v>599</v>
      </c>
      <c r="C418" s="254">
        <v>2.87</v>
      </c>
    </row>
    <row r="419" spans="2:3" x14ac:dyDescent="0.25">
      <c r="B419" s="235" t="s">
        <v>599</v>
      </c>
      <c r="C419" s="254">
        <v>4.26</v>
      </c>
    </row>
    <row r="420" spans="2:3" x14ac:dyDescent="0.25">
      <c r="B420" s="235" t="s">
        <v>599</v>
      </c>
      <c r="C420" s="254">
        <v>6.14</v>
      </c>
    </row>
    <row r="421" spans="2:3" x14ac:dyDescent="0.25">
      <c r="B421" s="236" t="s">
        <v>599</v>
      </c>
      <c r="C421" s="254">
        <v>0.4</v>
      </c>
    </row>
    <row r="422" spans="2:3" x14ac:dyDescent="0.25">
      <c r="B422" s="235" t="s">
        <v>599</v>
      </c>
      <c r="C422" s="254">
        <v>1.67</v>
      </c>
    </row>
    <row r="423" spans="2:3" x14ac:dyDescent="0.25">
      <c r="B423" s="235" t="s">
        <v>599</v>
      </c>
      <c r="C423" s="254">
        <v>2</v>
      </c>
    </row>
    <row r="424" spans="2:3" x14ac:dyDescent="0.25">
      <c r="B424" s="237" t="s">
        <v>601</v>
      </c>
      <c r="C424" s="254">
        <v>1.1100000000000001</v>
      </c>
    </row>
    <row r="425" spans="2:3" x14ac:dyDescent="0.25">
      <c r="B425" s="237" t="s">
        <v>601</v>
      </c>
      <c r="C425" s="250">
        <v>0.48799999999999999</v>
      </c>
    </row>
    <row r="426" spans="2:3" x14ac:dyDescent="0.25">
      <c r="B426" s="237" t="s">
        <v>603</v>
      </c>
      <c r="C426" s="249">
        <v>10</v>
      </c>
    </row>
    <row r="427" spans="2:3" x14ac:dyDescent="0.25">
      <c r="B427" s="236" t="s">
        <v>603</v>
      </c>
      <c r="C427" s="254">
        <v>3</v>
      </c>
    </row>
    <row r="428" spans="2:3" x14ac:dyDescent="0.25">
      <c r="B428" s="237" t="s">
        <v>605</v>
      </c>
      <c r="C428" s="249">
        <v>4</v>
      </c>
    </row>
    <row r="429" spans="2:3" x14ac:dyDescent="0.25">
      <c r="B429" s="236" t="s">
        <v>605</v>
      </c>
      <c r="C429" s="254">
        <v>2</v>
      </c>
    </row>
    <row r="430" spans="2:3" x14ac:dyDescent="0.25">
      <c r="B430" s="235" t="s">
        <v>605</v>
      </c>
      <c r="C430" s="254">
        <v>24</v>
      </c>
    </row>
    <row r="431" spans="2:3" x14ac:dyDescent="0.25">
      <c r="B431" s="234" t="s">
        <v>607</v>
      </c>
      <c r="C431" s="257">
        <v>316.10000000000002</v>
      </c>
    </row>
    <row r="432" spans="2:3" x14ac:dyDescent="0.25">
      <c r="B432" s="234" t="s">
        <v>607</v>
      </c>
      <c r="C432" s="257">
        <v>228.22</v>
      </c>
    </row>
    <row r="433" spans="2:3" x14ac:dyDescent="0.25">
      <c r="B433" s="239" t="s">
        <v>607</v>
      </c>
      <c r="C433" s="248">
        <v>612.75</v>
      </c>
    </row>
    <row r="434" spans="2:3" x14ac:dyDescent="0.25">
      <c r="B434" s="234" t="s">
        <v>609</v>
      </c>
      <c r="C434" s="254">
        <v>2947</v>
      </c>
    </row>
    <row r="435" spans="2:3" x14ac:dyDescent="0.25">
      <c r="B435" s="234" t="s">
        <v>609</v>
      </c>
      <c r="C435" s="254">
        <v>3243.6</v>
      </c>
    </row>
    <row r="436" spans="2:3" x14ac:dyDescent="0.25">
      <c r="B436" s="235" t="s">
        <v>609</v>
      </c>
      <c r="C436" s="254">
        <v>13065</v>
      </c>
    </row>
    <row r="437" spans="2:3" x14ac:dyDescent="0.25">
      <c r="B437" s="236" t="s">
        <v>609</v>
      </c>
      <c r="C437" s="254">
        <v>4373.5</v>
      </c>
    </row>
    <row r="438" spans="2:3" x14ac:dyDescent="0.25">
      <c r="B438" s="235" t="s">
        <v>609</v>
      </c>
      <c r="C438" s="254">
        <v>3937</v>
      </c>
    </row>
    <row r="439" spans="2:3" x14ac:dyDescent="0.25">
      <c r="B439" s="235" t="s">
        <v>609</v>
      </c>
      <c r="C439" s="254">
        <v>1600</v>
      </c>
    </row>
    <row r="440" spans="2:3" x14ac:dyDescent="0.25">
      <c r="B440" s="244" t="str">
        <f>+B439</f>
        <v>P.S.329</v>
      </c>
      <c r="C440" s="254">
        <v>2463</v>
      </c>
    </row>
    <row r="441" spans="2:3" x14ac:dyDescent="0.25">
      <c r="B441" s="235" t="s">
        <v>611</v>
      </c>
      <c r="C441" s="254">
        <v>26.22</v>
      </c>
    </row>
    <row r="442" spans="2:3" x14ac:dyDescent="0.25">
      <c r="B442" s="235" t="s">
        <v>611</v>
      </c>
      <c r="C442" s="254">
        <v>8.1890000000000001</v>
      </c>
    </row>
    <row r="443" spans="2:3" x14ac:dyDescent="0.25">
      <c r="B443" s="235" t="s">
        <v>611</v>
      </c>
      <c r="C443" s="250">
        <v>6.3869999999999996</v>
      </c>
    </row>
    <row r="444" spans="2:3" x14ac:dyDescent="0.25">
      <c r="B444" s="235" t="s">
        <v>611</v>
      </c>
      <c r="C444" s="250">
        <v>9.8369999999999997</v>
      </c>
    </row>
    <row r="445" spans="2:3" x14ac:dyDescent="0.25">
      <c r="B445" s="235" t="s">
        <v>611</v>
      </c>
      <c r="C445" s="250">
        <v>7.6280000000000001</v>
      </c>
    </row>
    <row r="446" spans="2:3" x14ac:dyDescent="0.25">
      <c r="B446" s="235" t="s">
        <v>611</v>
      </c>
      <c r="C446" s="250">
        <v>0.65</v>
      </c>
    </row>
    <row r="447" spans="2:3" x14ac:dyDescent="0.25">
      <c r="B447" s="235" t="s">
        <v>611</v>
      </c>
      <c r="C447" s="250">
        <v>7.62</v>
      </c>
    </row>
    <row r="448" spans="2:3" x14ac:dyDescent="0.25">
      <c r="B448" s="234" t="s">
        <v>611</v>
      </c>
      <c r="C448" s="255">
        <v>4.508</v>
      </c>
    </row>
    <row r="449" spans="2:3" x14ac:dyDescent="0.25">
      <c r="B449" s="236" t="s">
        <v>613</v>
      </c>
      <c r="C449" s="249">
        <v>1</v>
      </c>
    </row>
    <row r="450" spans="2:3" x14ac:dyDescent="0.25">
      <c r="B450" s="235" t="s">
        <v>613</v>
      </c>
      <c r="C450" s="254">
        <v>1</v>
      </c>
    </row>
    <row r="451" spans="2:3" x14ac:dyDescent="0.25">
      <c r="B451" s="235" t="s">
        <v>613</v>
      </c>
      <c r="C451" s="254">
        <v>1</v>
      </c>
    </row>
    <row r="452" spans="2:3" x14ac:dyDescent="0.25">
      <c r="B452" s="235" t="s">
        <v>613</v>
      </c>
      <c r="C452" s="250">
        <v>1</v>
      </c>
    </row>
    <row r="453" spans="2:3" x14ac:dyDescent="0.25">
      <c r="B453" s="235" t="s">
        <v>613</v>
      </c>
      <c r="C453" s="254">
        <v>1</v>
      </c>
    </row>
    <row r="454" spans="2:3" x14ac:dyDescent="0.25">
      <c r="B454" s="237" t="s">
        <v>702</v>
      </c>
      <c r="C454" s="249">
        <v>1</v>
      </c>
    </row>
    <row r="455" spans="2:3" x14ac:dyDescent="0.25">
      <c r="B455" s="237" t="s">
        <v>702</v>
      </c>
      <c r="C455" s="249">
        <v>1</v>
      </c>
    </row>
    <row r="456" spans="2:3" x14ac:dyDescent="0.25">
      <c r="B456" s="236" t="s">
        <v>874</v>
      </c>
      <c r="C456" s="249">
        <v>1</v>
      </c>
    </row>
    <row r="457" spans="2:3" x14ac:dyDescent="0.25">
      <c r="B457" s="234" t="s">
        <v>615</v>
      </c>
      <c r="C457" s="249">
        <v>1</v>
      </c>
    </row>
    <row r="458" spans="2:3" x14ac:dyDescent="0.25">
      <c r="B458" s="235" t="s">
        <v>615</v>
      </c>
      <c r="C458" s="250">
        <v>1</v>
      </c>
    </row>
    <row r="459" spans="2:3" x14ac:dyDescent="0.25">
      <c r="B459" s="235" t="s">
        <v>615</v>
      </c>
      <c r="C459" s="250">
        <v>1</v>
      </c>
    </row>
    <row r="460" spans="2:3" x14ac:dyDescent="0.25">
      <c r="B460" s="235" t="s">
        <v>615</v>
      </c>
      <c r="C460" s="250">
        <v>1</v>
      </c>
    </row>
    <row r="461" spans="2:3" x14ac:dyDescent="0.25">
      <c r="B461" s="235" t="s">
        <v>615</v>
      </c>
      <c r="C461" s="250">
        <v>1</v>
      </c>
    </row>
    <row r="462" spans="2:3" x14ac:dyDescent="0.25">
      <c r="B462" s="235" t="s">
        <v>646</v>
      </c>
      <c r="C462" s="254">
        <v>9</v>
      </c>
    </row>
    <row r="463" spans="2:3" x14ac:dyDescent="0.25">
      <c r="B463" s="235" t="s">
        <v>617</v>
      </c>
      <c r="C463" s="250">
        <v>1</v>
      </c>
    </row>
    <row r="464" spans="2:3" x14ac:dyDescent="0.25">
      <c r="B464" s="235" t="s">
        <v>617</v>
      </c>
      <c r="C464" s="254">
        <v>4</v>
      </c>
    </row>
    <row r="465" spans="2:3" x14ac:dyDescent="0.25">
      <c r="B465" s="237" t="s">
        <v>617</v>
      </c>
      <c r="C465" s="250">
        <v>1</v>
      </c>
    </row>
    <row r="466" spans="2:3" x14ac:dyDescent="0.25">
      <c r="B466" s="237" t="s">
        <v>617</v>
      </c>
      <c r="C466" s="254">
        <v>1</v>
      </c>
    </row>
    <row r="467" spans="2:3" x14ac:dyDescent="0.25">
      <c r="B467" s="237" t="s">
        <v>617</v>
      </c>
      <c r="C467" s="254">
        <v>1</v>
      </c>
    </row>
    <row r="468" spans="2:3" x14ac:dyDescent="0.25">
      <c r="B468" s="235" t="s">
        <v>617</v>
      </c>
      <c r="C468" s="254">
        <v>1</v>
      </c>
    </row>
    <row r="469" spans="2:3" x14ac:dyDescent="0.25">
      <c r="B469" s="235" t="s">
        <v>617</v>
      </c>
      <c r="C469" s="254">
        <v>1</v>
      </c>
    </row>
    <row r="470" spans="2:3" x14ac:dyDescent="0.25">
      <c r="B470" s="235" t="s">
        <v>617</v>
      </c>
      <c r="C470" s="254">
        <v>1</v>
      </c>
    </row>
    <row r="471" spans="2:3" x14ac:dyDescent="0.25">
      <c r="B471" s="237" t="s">
        <v>617</v>
      </c>
      <c r="C471" s="249">
        <v>17</v>
      </c>
    </row>
    <row r="472" spans="2:3" x14ac:dyDescent="0.25">
      <c r="B472" s="235" t="s">
        <v>617</v>
      </c>
      <c r="C472" s="250">
        <v>1</v>
      </c>
    </row>
    <row r="473" spans="2:3" x14ac:dyDescent="0.25">
      <c r="B473" s="235" t="s">
        <v>617</v>
      </c>
      <c r="C473" s="250">
        <v>1</v>
      </c>
    </row>
    <row r="474" spans="2:3" x14ac:dyDescent="0.25">
      <c r="B474" s="235" t="s">
        <v>617</v>
      </c>
      <c r="C474" s="250">
        <v>1</v>
      </c>
    </row>
    <row r="475" spans="2:3" x14ac:dyDescent="0.25">
      <c r="B475" s="239" t="s">
        <v>617</v>
      </c>
      <c r="C475" s="260">
        <v>7</v>
      </c>
    </row>
    <row r="476" spans="2:3" x14ac:dyDescent="0.25">
      <c r="B476" s="235" t="s">
        <v>617</v>
      </c>
      <c r="C476" s="250">
        <v>1</v>
      </c>
    </row>
    <row r="477" spans="2:3" x14ac:dyDescent="0.25">
      <c r="B477" s="235" t="s">
        <v>617</v>
      </c>
      <c r="C477" s="250">
        <v>1</v>
      </c>
    </row>
    <row r="478" spans="2:3" x14ac:dyDescent="0.25">
      <c r="B478" s="234" t="s">
        <v>617</v>
      </c>
      <c r="C478" s="255">
        <v>1</v>
      </c>
    </row>
    <row r="479" spans="2:3" x14ac:dyDescent="0.25">
      <c r="B479" s="235" t="s">
        <v>617</v>
      </c>
      <c r="C479" s="250">
        <v>1</v>
      </c>
    </row>
    <row r="480" spans="2:3" x14ac:dyDescent="0.25">
      <c r="B480" s="234" t="s">
        <v>619</v>
      </c>
      <c r="C480" s="254">
        <v>1</v>
      </c>
    </row>
    <row r="481" spans="2:3" x14ac:dyDescent="0.25">
      <c r="B481" s="234" t="s">
        <v>619</v>
      </c>
      <c r="C481" s="249">
        <v>1</v>
      </c>
    </row>
    <row r="482" spans="2:3" x14ac:dyDescent="0.25">
      <c r="B482" s="234" t="s">
        <v>619</v>
      </c>
      <c r="C482" s="254">
        <v>1</v>
      </c>
    </row>
    <row r="483" spans="2:3" x14ac:dyDescent="0.25">
      <c r="B483" s="235" t="s">
        <v>619</v>
      </c>
      <c r="C483" s="254">
        <v>1</v>
      </c>
    </row>
    <row r="484" spans="2:3" x14ac:dyDescent="0.25">
      <c r="B484" s="235" t="s">
        <v>619</v>
      </c>
      <c r="C484" s="254">
        <v>1</v>
      </c>
    </row>
    <row r="485" spans="2:3" x14ac:dyDescent="0.25">
      <c r="B485" s="235" t="s">
        <v>619</v>
      </c>
      <c r="C485" s="254">
        <v>1</v>
      </c>
    </row>
    <row r="486" spans="2:3" x14ac:dyDescent="0.25">
      <c r="B486" s="236" t="s">
        <v>619</v>
      </c>
      <c r="C486" s="254">
        <v>1</v>
      </c>
    </row>
    <row r="487" spans="2:3" x14ac:dyDescent="0.25">
      <c r="B487" s="236" t="s">
        <v>619</v>
      </c>
      <c r="C487" s="254">
        <v>1</v>
      </c>
    </row>
    <row r="488" spans="2:3" x14ac:dyDescent="0.25">
      <c r="B488" s="236" t="s">
        <v>619</v>
      </c>
      <c r="C488" s="254">
        <v>1</v>
      </c>
    </row>
    <row r="489" spans="2:3" x14ac:dyDescent="0.25">
      <c r="B489" s="236" t="s">
        <v>621</v>
      </c>
      <c r="C489" s="254">
        <v>11</v>
      </c>
    </row>
    <row r="490" spans="2:3" x14ac:dyDescent="0.25">
      <c r="B490" s="236" t="s">
        <v>621</v>
      </c>
      <c r="C490" s="254">
        <v>19</v>
      </c>
    </row>
    <row r="491" spans="2:3" x14ac:dyDescent="0.25">
      <c r="B491" s="234" t="s">
        <v>621</v>
      </c>
      <c r="C491" s="249">
        <v>80</v>
      </c>
    </row>
    <row r="492" spans="2:3" x14ac:dyDescent="0.25">
      <c r="B492" s="236" t="s">
        <v>621</v>
      </c>
      <c r="C492" s="254">
        <v>3</v>
      </c>
    </row>
    <row r="493" spans="2:3" x14ac:dyDescent="0.25">
      <c r="B493" s="236" t="s">
        <v>621</v>
      </c>
      <c r="C493" s="254">
        <v>30</v>
      </c>
    </row>
    <row r="494" spans="2:3" x14ac:dyDescent="0.25">
      <c r="B494" s="236" t="s">
        <v>621</v>
      </c>
      <c r="C494" s="249">
        <v>18</v>
      </c>
    </row>
    <row r="495" spans="2:3" x14ac:dyDescent="0.25">
      <c r="B495" s="236" t="s">
        <v>621</v>
      </c>
      <c r="C495" s="249">
        <v>40</v>
      </c>
    </row>
    <row r="496" spans="2:3" x14ac:dyDescent="0.25">
      <c r="B496" s="235" t="s">
        <v>621</v>
      </c>
      <c r="C496" s="254">
        <v>173</v>
      </c>
    </row>
    <row r="497" spans="2:3" x14ac:dyDescent="0.25">
      <c r="B497" s="235" t="s">
        <v>644</v>
      </c>
      <c r="C497" s="254">
        <v>1</v>
      </c>
    </row>
    <row r="498" spans="2:3" x14ac:dyDescent="0.25">
      <c r="B498" s="235" t="s">
        <v>644</v>
      </c>
      <c r="C498" s="254">
        <v>1</v>
      </c>
    </row>
    <row r="499" spans="2:3" x14ac:dyDescent="0.25">
      <c r="B499" s="234" t="s">
        <v>623</v>
      </c>
      <c r="C499" s="249">
        <v>37866</v>
      </c>
    </row>
    <row r="500" spans="2:3" x14ac:dyDescent="0.25">
      <c r="B500" s="234" t="s">
        <v>623</v>
      </c>
      <c r="C500" s="254">
        <v>10265</v>
      </c>
    </row>
    <row r="501" spans="2:3" x14ac:dyDescent="0.25">
      <c r="B501" s="234" t="s">
        <v>623</v>
      </c>
      <c r="C501" s="254">
        <v>91148</v>
      </c>
    </row>
    <row r="502" spans="2:3" x14ac:dyDescent="0.25">
      <c r="B502" s="236" t="s">
        <v>623</v>
      </c>
      <c r="C502" s="249">
        <v>8440</v>
      </c>
    </row>
    <row r="503" spans="2:3" x14ac:dyDescent="0.25">
      <c r="B503" s="243" t="s">
        <v>623</v>
      </c>
      <c r="C503" s="258">
        <v>10206.5</v>
      </c>
    </row>
    <row r="504" spans="2:3" x14ac:dyDescent="0.25">
      <c r="B504" s="236" t="s">
        <v>623</v>
      </c>
      <c r="C504" s="249">
        <v>40000</v>
      </c>
    </row>
    <row r="505" spans="2:3" x14ac:dyDescent="0.25">
      <c r="B505" s="236" t="s">
        <v>623</v>
      </c>
      <c r="C505" s="249">
        <v>3938</v>
      </c>
    </row>
    <row r="506" spans="2:3" x14ac:dyDescent="0.25">
      <c r="B506" s="236" t="s">
        <v>623</v>
      </c>
      <c r="C506" s="249">
        <v>84826</v>
      </c>
    </row>
    <row r="507" spans="2:3" x14ac:dyDescent="0.25">
      <c r="B507" s="234" t="s">
        <v>623</v>
      </c>
      <c r="C507" s="254">
        <v>13198</v>
      </c>
    </row>
    <row r="508" spans="2:3" x14ac:dyDescent="0.25">
      <c r="B508" s="234" t="s">
        <v>623</v>
      </c>
      <c r="C508" s="254">
        <v>16740</v>
      </c>
    </row>
    <row r="509" spans="2:3" x14ac:dyDescent="0.25">
      <c r="B509" s="235" t="s">
        <v>625</v>
      </c>
      <c r="C509" s="250">
        <v>255.37</v>
      </c>
    </row>
    <row r="510" spans="2:3" x14ac:dyDescent="0.25">
      <c r="B510" s="235" t="s">
        <v>625</v>
      </c>
      <c r="C510" s="250">
        <v>0</v>
      </c>
    </row>
    <row r="511" spans="2:3" x14ac:dyDescent="0.25">
      <c r="B511" s="235" t="s">
        <v>625</v>
      </c>
      <c r="C511" s="250">
        <v>0</v>
      </c>
    </row>
    <row r="512" spans="2:3" x14ac:dyDescent="0.25">
      <c r="B512" s="242" t="s">
        <v>642</v>
      </c>
      <c r="C512" s="248">
        <v>1000</v>
      </c>
    </row>
    <row r="513" spans="2:3" x14ac:dyDescent="0.25">
      <c r="B513" s="242" t="s">
        <v>642</v>
      </c>
      <c r="C513" s="248">
        <v>4533</v>
      </c>
    </row>
    <row r="514" spans="2:3" x14ac:dyDescent="0.25">
      <c r="B514" s="242" t="s">
        <v>642</v>
      </c>
      <c r="C514" s="248">
        <v>2500</v>
      </c>
    </row>
    <row r="515" spans="2:3" x14ac:dyDescent="0.25">
      <c r="B515" s="242" t="s">
        <v>642</v>
      </c>
      <c r="C515" s="248">
        <v>1275</v>
      </c>
    </row>
    <row r="516" spans="2:3" x14ac:dyDescent="0.25">
      <c r="B516" s="242" t="s">
        <v>642</v>
      </c>
      <c r="C516" s="248">
        <v>2500</v>
      </c>
    </row>
    <row r="517" spans="2:3" x14ac:dyDescent="0.25">
      <c r="B517" s="242" t="s">
        <v>642</v>
      </c>
      <c r="C517" s="248">
        <v>800</v>
      </c>
    </row>
    <row r="518" spans="2:3" x14ac:dyDescent="0.25">
      <c r="B518" s="242" t="s">
        <v>642</v>
      </c>
      <c r="C518" s="248">
        <v>350</v>
      </c>
    </row>
    <row r="519" spans="2:3" x14ac:dyDescent="0.25">
      <c r="B519" s="242" t="s">
        <v>642</v>
      </c>
      <c r="C519" s="248">
        <v>1588</v>
      </c>
    </row>
    <row r="520" spans="2:3" x14ac:dyDescent="0.25">
      <c r="B520" s="235" t="s">
        <v>629</v>
      </c>
      <c r="C520" s="254">
        <v>1</v>
      </c>
    </row>
    <row r="521" spans="2:3" x14ac:dyDescent="0.25">
      <c r="B521" s="235" t="s">
        <v>629</v>
      </c>
      <c r="C521" s="254">
        <v>2</v>
      </c>
    </row>
    <row r="522" spans="2:3" x14ac:dyDescent="0.25">
      <c r="B522" s="235" t="s">
        <v>629</v>
      </c>
      <c r="C522" s="254">
        <v>1</v>
      </c>
    </row>
    <row r="523" spans="2:3" x14ac:dyDescent="0.25">
      <c r="B523" s="235" t="s">
        <v>629</v>
      </c>
      <c r="C523" s="254">
        <v>1</v>
      </c>
    </row>
    <row r="524" spans="2:3" x14ac:dyDescent="0.25">
      <c r="B524" s="235" t="s">
        <v>629</v>
      </c>
      <c r="C524" s="254">
        <v>1</v>
      </c>
    </row>
    <row r="525" spans="2:3" x14ac:dyDescent="0.25">
      <c r="B525" s="234" t="s">
        <v>629</v>
      </c>
      <c r="C525" s="255">
        <v>2</v>
      </c>
    </row>
    <row r="526" spans="2:3" x14ac:dyDescent="0.25">
      <c r="B526" s="235" t="s">
        <v>629</v>
      </c>
      <c r="C526" s="250"/>
    </row>
    <row r="527" spans="2:3" x14ac:dyDescent="0.25">
      <c r="B527" s="240" t="s">
        <v>682</v>
      </c>
      <c r="C527" s="246">
        <v>16</v>
      </c>
    </row>
    <row r="528" spans="2:3" x14ac:dyDescent="0.25">
      <c r="B528" s="240" t="s">
        <v>682</v>
      </c>
      <c r="C528" s="246">
        <v>35</v>
      </c>
    </row>
    <row r="529" spans="2:3" x14ac:dyDescent="0.25">
      <c r="B529" s="240" t="s">
        <v>682</v>
      </c>
      <c r="C529" s="246">
        <v>25</v>
      </c>
    </row>
    <row r="530" spans="2:3" x14ac:dyDescent="0.25">
      <c r="B530" s="240" t="s">
        <v>682</v>
      </c>
      <c r="C530" s="246">
        <v>24</v>
      </c>
    </row>
    <row r="531" spans="2:3" x14ac:dyDescent="0.25">
      <c r="B531" s="240" t="s">
        <v>682</v>
      </c>
      <c r="C531" s="246">
        <v>80</v>
      </c>
    </row>
    <row r="532" spans="2:3" x14ac:dyDescent="0.25">
      <c r="B532" s="240" t="s">
        <v>682</v>
      </c>
      <c r="C532" s="246">
        <v>20</v>
      </c>
    </row>
    <row r="533" spans="2:3" x14ac:dyDescent="0.25">
      <c r="B533" s="235" t="s">
        <v>682</v>
      </c>
      <c r="C533" s="250">
        <v>0</v>
      </c>
    </row>
    <row r="534" spans="2:3" x14ac:dyDescent="0.25">
      <c r="B534" s="240" t="s">
        <v>682</v>
      </c>
      <c r="C534" s="249">
        <v>56</v>
      </c>
    </row>
    <row r="535" spans="2:3" x14ac:dyDescent="0.25">
      <c r="B535" s="240" t="s">
        <v>682</v>
      </c>
      <c r="C535" s="249">
        <v>20</v>
      </c>
    </row>
    <row r="536" spans="2:3" x14ac:dyDescent="0.25">
      <c r="B536" s="240" t="s">
        <v>682</v>
      </c>
      <c r="C536" s="249">
        <v>108</v>
      </c>
    </row>
    <row r="537" spans="2:3" x14ac:dyDescent="0.25">
      <c r="B537" s="240" t="s">
        <v>682</v>
      </c>
      <c r="C537" s="249">
        <v>34</v>
      </c>
    </row>
    <row r="538" spans="2:3" x14ac:dyDescent="0.25">
      <c r="B538" s="236" t="s">
        <v>631</v>
      </c>
      <c r="C538" s="249">
        <v>2</v>
      </c>
    </row>
    <row r="539" spans="2:3" x14ac:dyDescent="0.25">
      <c r="B539" s="236" t="s">
        <v>631</v>
      </c>
      <c r="C539" s="249">
        <v>2</v>
      </c>
    </row>
    <row r="540" spans="2:3" x14ac:dyDescent="0.25">
      <c r="B540" s="236" t="s">
        <v>631</v>
      </c>
      <c r="C540" s="249">
        <v>1</v>
      </c>
    </row>
    <row r="541" spans="2:3" x14ac:dyDescent="0.25">
      <c r="B541" s="236" t="s">
        <v>631</v>
      </c>
      <c r="C541" s="249">
        <v>2</v>
      </c>
    </row>
    <row r="542" spans="2:3" x14ac:dyDescent="0.25">
      <c r="B542" s="236" t="s">
        <v>631</v>
      </c>
      <c r="C542" s="249">
        <v>19</v>
      </c>
    </row>
    <row r="543" spans="2:3" x14ac:dyDescent="0.25">
      <c r="B543" s="236" t="s">
        <v>633</v>
      </c>
      <c r="C543" s="250">
        <v>30</v>
      </c>
    </row>
    <row r="544" spans="2:3" x14ac:dyDescent="0.25">
      <c r="B544" s="236" t="s">
        <v>633</v>
      </c>
      <c r="C544" s="250">
        <v>70</v>
      </c>
    </row>
    <row r="545" spans="2:3" x14ac:dyDescent="0.25">
      <c r="B545" s="236" t="s">
        <v>633</v>
      </c>
      <c r="C545" s="250">
        <v>25</v>
      </c>
    </row>
    <row r="546" spans="2:3" x14ac:dyDescent="0.25">
      <c r="B546" s="236" t="s">
        <v>633</v>
      </c>
      <c r="C546" s="250">
        <v>30</v>
      </c>
    </row>
    <row r="547" spans="2:3" x14ac:dyDescent="0.25">
      <c r="B547" s="236" t="s">
        <v>633</v>
      </c>
      <c r="C547" s="250">
        <v>23</v>
      </c>
    </row>
    <row r="548" spans="2:3" x14ac:dyDescent="0.25">
      <c r="B548" s="234" t="s">
        <v>636</v>
      </c>
      <c r="C548" s="254">
        <v>3.35</v>
      </c>
    </row>
    <row r="549" spans="2:3" x14ac:dyDescent="0.25">
      <c r="B549" s="234" t="s">
        <v>636</v>
      </c>
      <c r="C549" s="254">
        <v>1.86</v>
      </c>
    </row>
    <row r="550" spans="2:3" x14ac:dyDescent="0.25">
      <c r="B550" s="235" t="s">
        <v>636</v>
      </c>
      <c r="C550" s="254">
        <v>5</v>
      </c>
    </row>
    <row r="551" spans="2:3" x14ac:dyDescent="0.25">
      <c r="B551" s="235" t="s">
        <v>636</v>
      </c>
      <c r="C551" s="254">
        <v>128</v>
      </c>
    </row>
    <row r="552" spans="2:3" x14ac:dyDescent="0.25">
      <c r="B552" s="235" t="s">
        <v>636</v>
      </c>
      <c r="C552" s="254">
        <v>2</v>
      </c>
    </row>
    <row r="553" spans="2:3" x14ac:dyDescent="0.25">
      <c r="B553" s="234" t="s">
        <v>636</v>
      </c>
      <c r="C553" s="249">
        <v>5</v>
      </c>
    </row>
    <row r="554" spans="2:3" x14ac:dyDescent="0.25">
      <c r="B554" s="235" t="s">
        <v>636</v>
      </c>
      <c r="C554" s="250">
        <v>4.5599999999999996</v>
      </c>
    </row>
    <row r="555" spans="2:3" x14ac:dyDescent="0.25">
      <c r="B555" s="235" t="s">
        <v>636</v>
      </c>
      <c r="C555" s="250">
        <v>2.9</v>
      </c>
    </row>
    <row r="556" spans="2:3" x14ac:dyDescent="0.25">
      <c r="B556" s="234" t="s">
        <v>638</v>
      </c>
      <c r="C556" s="250">
        <v>31</v>
      </c>
    </row>
    <row r="557" spans="2:3" x14ac:dyDescent="0.25">
      <c r="B557" s="234" t="s">
        <v>638</v>
      </c>
      <c r="C557" s="250">
        <v>118</v>
      </c>
    </row>
    <row r="558" spans="2:3" x14ac:dyDescent="0.25">
      <c r="B558" s="235" t="s">
        <v>638</v>
      </c>
      <c r="C558" s="250">
        <v>40</v>
      </c>
    </row>
    <row r="559" spans="2:3" x14ac:dyDescent="0.25">
      <c r="B559" s="235" t="s">
        <v>638</v>
      </c>
      <c r="C559" s="250">
        <v>61</v>
      </c>
    </row>
    <row r="560" spans="2:3" x14ac:dyDescent="0.25">
      <c r="B560" s="235" t="s">
        <v>638</v>
      </c>
      <c r="C560" s="250">
        <v>45</v>
      </c>
    </row>
    <row r="561" spans="2:3" x14ac:dyDescent="0.25">
      <c r="B561" s="235" t="s">
        <v>638</v>
      </c>
      <c r="C561" s="250">
        <v>73</v>
      </c>
    </row>
    <row r="562" spans="2:3" x14ac:dyDescent="0.25">
      <c r="B562" s="236" t="s">
        <v>638</v>
      </c>
      <c r="C562" s="250">
        <v>10</v>
      </c>
    </row>
    <row r="563" spans="2:3" x14ac:dyDescent="0.25">
      <c r="B563" s="236" t="s">
        <v>638</v>
      </c>
      <c r="C563" s="250">
        <v>40</v>
      </c>
    </row>
    <row r="564" spans="2:3" x14ac:dyDescent="0.25">
      <c r="B564" s="236" t="s">
        <v>638</v>
      </c>
      <c r="C564" s="250">
        <v>60</v>
      </c>
    </row>
    <row r="565" spans="2:3" x14ac:dyDescent="0.25">
      <c r="B565" s="235" t="s">
        <v>668</v>
      </c>
      <c r="C565" s="250">
        <v>23</v>
      </c>
    </row>
    <row r="566" spans="2:3" x14ac:dyDescent="0.25">
      <c r="B566" s="235" t="s">
        <v>668</v>
      </c>
      <c r="C566" s="250">
        <v>78</v>
      </c>
    </row>
    <row r="567" spans="2:3" x14ac:dyDescent="0.25">
      <c r="B567" s="235" t="s">
        <v>668</v>
      </c>
      <c r="C567" s="250">
        <v>25</v>
      </c>
    </row>
    <row r="568" spans="2:3" x14ac:dyDescent="0.25">
      <c r="B568" s="235" t="s">
        <v>668</v>
      </c>
      <c r="C568" s="250">
        <v>40</v>
      </c>
    </row>
    <row r="569" spans="2:3" x14ac:dyDescent="0.25">
      <c r="B569" s="235" t="s">
        <v>668</v>
      </c>
      <c r="C569" s="250">
        <v>30</v>
      </c>
    </row>
    <row r="570" spans="2:3" x14ac:dyDescent="0.25">
      <c r="B570" s="235" t="s">
        <v>668</v>
      </c>
      <c r="C570" s="250">
        <v>50</v>
      </c>
    </row>
    <row r="571" spans="2:3" x14ac:dyDescent="0.25">
      <c r="B571" s="235" t="s">
        <v>668</v>
      </c>
      <c r="C571" s="250">
        <v>8</v>
      </c>
    </row>
    <row r="572" spans="2:3" x14ac:dyDescent="0.25">
      <c r="B572" s="235" t="s">
        <v>668</v>
      </c>
      <c r="C572" s="250">
        <v>25</v>
      </c>
    </row>
    <row r="573" spans="2:3" x14ac:dyDescent="0.25">
      <c r="B573" s="235" t="s">
        <v>668</v>
      </c>
      <c r="C573" s="250">
        <v>20</v>
      </c>
    </row>
    <row r="574" spans="2:3" x14ac:dyDescent="0.25">
      <c r="B574" s="234" t="s">
        <v>703</v>
      </c>
      <c r="C574" s="250">
        <v>1.7041000000000001E-2</v>
      </c>
    </row>
    <row r="575" spans="2:3" x14ac:dyDescent="0.25">
      <c r="B575" s="234" t="s">
        <v>703</v>
      </c>
      <c r="C575" s="250">
        <v>1.8509599999999999E-4</v>
      </c>
    </row>
    <row r="576" spans="2:3" x14ac:dyDescent="0.25">
      <c r="B576" s="234" t="s">
        <v>703</v>
      </c>
      <c r="C576" s="255">
        <v>0.5</v>
      </c>
    </row>
    <row r="577" spans="2:3" x14ac:dyDescent="0.25">
      <c r="B577" s="235" t="s">
        <v>703</v>
      </c>
      <c r="C577" s="255">
        <v>3.0999999999999999E-3</v>
      </c>
    </row>
    <row r="578" spans="2:3" x14ac:dyDescent="0.25">
      <c r="B578" s="235" t="s">
        <v>703</v>
      </c>
      <c r="C578" s="255">
        <v>0.34169498799999998</v>
      </c>
    </row>
    <row r="579" spans="2:3" x14ac:dyDescent="0.25">
      <c r="B579" s="235" t="s">
        <v>703</v>
      </c>
      <c r="C579" s="255">
        <v>0.09</v>
      </c>
    </row>
    <row r="580" spans="2:3" x14ac:dyDescent="0.25">
      <c r="B580" s="235" t="s">
        <v>703</v>
      </c>
      <c r="C580" s="250">
        <v>4.86E-4</v>
      </c>
    </row>
    <row r="581" spans="2:3" x14ac:dyDescent="0.25">
      <c r="B581" s="235" t="s">
        <v>703</v>
      </c>
      <c r="C581" s="250">
        <v>2.433E-4</v>
      </c>
    </row>
    <row r="582" spans="2:3" x14ac:dyDescent="0.25">
      <c r="B582" s="235" t="s">
        <v>703</v>
      </c>
      <c r="C582" s="250">
        <v>7.9899999999999999E-2</v>
      </c>
    </row>
    <row r="583" spans="2:3" x14ac:dyDescent="0.25">
      <c r="B583" s="235" t="s">
        <v>703</v>
      </c>
      <c r="C583" s="250">
        <v>2.1122369999999999E-3</v>
      </c>
    </row>
    <row r="584" spans="2:3" x14ac:dyDescent="0.25">
      <c r="B584" s="235" t="s">
        <v>703</v>
      </c>
      <c r="C584" s="250">
        <v>1.72364E-3</v>
      </c>
    </row>
    <row r="585" spans="2:3" x14ac:dyDescent="0.25">
      <c r="B585" s="235" t="s">
        <v>703</v>
      </c>
      <c r="C585" s="250">
        <v>2.1998109999999999E-3</v>
      </c>
    </row>
    <row r="586" spans="2:3" x14ac:dyDescent="0.25">
      <c r="B586" s="239" t="s">
        <v>703</v>
      </c>
      <c r="C586" s="260">
        <v>2.4699499999999998E-3</v>
      </c>
    </row>
    <row r="587" spans="2:3" x14ac:dyDescent="0.25">
      <c r="B587" s="235" t="s">
        <v>703</v>
      </c>
      <c r="C587" s="250">
        <v>1.2813779999999999E-3</v>
      </c>
    </row>
    <row r="588" spans="2:3" x14ac:dyDescent="0.25">
      <c r="B588" s="235" t="s">
        <v>703</v>
      </c>
      <c r="C588" s="250">
        <v>3.8284439999999999E-3</v>
      </c>
    </row>
    <row r="589" spans="2:3" x14ac:dyDescent="0.25">
      <c r="B589" s="234" t="s">
        <v>877</v>
      </c>
      <c r="C589" s="254">
        <v>1</v>
      </c>
    </row>
    <row r="590" spans="2:3" x14ac:dyDescent="0.25">
      <c r="B590" s="234" t="s">
        <v>877</v>
      </c>
      <c r="C590" s="254">
        <v>1</v>
      </c>
    </row>
    <row r="591" spans="2:3" x14ac:dyDescent="0.25">
      <c r="B591" s="234" t="s">
        <v>878</v>
      </c>
      <c r="C591" s="254">
        <v>1</v>
      </c>
    </row>
    <row r="592" spans="2:3" x14ac:dyDescent="0.25">
      <c r="B592" s="234" t="s">
        <v>879</v>
      </c>
      <c r="C592" s="254">
        <v>1</v>
      </c>
    </row>
    <row r="593" spans="2:3" x14ac:dyDescent="0.25">
      <c r="B593" s="234" t="s">
        <v>880</v>
      </c>
      <c r="C593" s="254">
        <v>1</v>
      </c>
    </row>
    <row r="594" spans="2:3" x14ac:dyDescent="0.25">
      <c r="B594" s="234" t="s">
        <v>881</v>
      </c>
      <c r="C594" s="254">
        <v>1</v>
      </c>
    </row>
    <row r="595" spans="2:3" x14ac:dyDescent="0.25">
      <c r="B595" s="262" t="s">
        <v>882</v>
      </c>
      <c r="C595" s="264">
        <v>1</v>
      </c>
    </row>
  </sheetData>
  <pageMargins left="0.7" right="0.7" top="0.75" bottom="0.75" header="0.3" footer="0.3"/>
  <pageSetup paperSize="9" scale="10" fitToWidth="0"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1150"/>
  <sheetViews>
    <sheetView topLeftCell="A92" workbookViewId="0">
      <selection activeCell="G118" sqref="G118"/>
    </sheetView>
  </sheetViews>
  <sheetFormatPr defaultRowHeight="15" x14ac:dyDescent="0.25"/>
  <cols>
    <col min="5" max="5" width="9.140625" style="4"/>
    <col min="10" max="10" width="9.140625" style="4"/>
    <col min="14" max="14" width="11.85546875" customWidth="1"/>
    <col min="19" max="19" width="11.85546875" customWidth="1"/>
    <col min="24" max="24" width="11.85546875" customWidth="1"/>
    <col min="29" max="29" width="11.85546875" customWidth="1"/>
    <col min="34" max="34" width="11.85546875" customWidth="1"/>
    <col min="39" max="39" width="11.85546875" customWidth="1"/>
  </cols>
  <sheetData>
    <row r="1" spans="2:39" s="4" customFormat="1" x14ac:dyDescent="0.25">
      <c r="B1" s="4" t="s">
        <v>884</v>
      </c>
      <c r="C1" s="4" t="s">
        <v>885</v>
      </c>
      <c r="D1" s="4" t="s">
        <v>886</v>
      </c>
      <c r="F1" s="219" t="s">
        <v>884</v>
      </c>
      <c r="G1" s="220" t="s">
        <v>885</v>
      </c>
      <c r="H1" s="221" t="s">
        <v>886</v>
      </c>
      <c r="I1" s="220" t="s">
        <v>887</v>
      </c>
      <c r="K1" s="219" t="s">
        <v>884</v>
      </c>
      <c r="L1" s="220" t="s">
        <v>885</v>
      </c>
      <c r="M1" s="221" t="s">
        <v>886</v>
      </c>
      <c r="N1" s="221" t="s">
        <v>887</v>
      </c>
      <c r="P1" s="219" t="s">
        <v>884</v>
      </c>
      <c r="Q1" s="220" t="s">
        <v>885</v>
      </c>
      <c r="R1" s="221" t="s">
        <v>886</v>
      </c>
      <c r="S1" s="221" t="s">
        <v>887</v>
      </c>
      <c r="U1" s="219" t="s">
        <v>884</v>
      </c>
      <c r="V1" s="220" t="s">
        <v>885</v>
      </c>
      <c r="W1" s="221" t="s">
        <v>886</v>
      </c>
      <c r="X1" s="221" t="s">
        <v>887</v>
      </c>
      <c r="Z1" s="219" t="s">
        <v>884</v>
      </c>
      <c r="AA1" s="220" t="s">
        <v>885</v>
      </c>
      <c r="AB1" s="221" t="s">
        <v>886</v>
      </c>
      <c r="AC1" s="221" t="s">
        <v>887</v>
      </c>
      <c r="AE1" s="219" t="s">
        <v>884</v>
      </c>
      <c r="AF1" s="220" t="s">
        <v>885</v>
      </c>
      <c r="AG1" s="221" t="s">
        <v>886</v>
      </c>
      <c r="AH1" s="221" t="s">
        <v>887</v>
      </c>
      <c r="AJ1" s="219" t="s">
        <v>884</v>
      </c>
      <c r="AK1" s="220" t="s">
        <v>885</v>
      </c>
      <c r="AL1" s="221" t="s">
        <v>886</v>
      </c>
      <c r="AM1" s="221" t="s">
        <v>887</v>
      </c>
    </row>
    <row r="2" spans="2:39" x14ac:dyDescent="0.25">
      <c r="B2" s="46">
        <v>2018</v>
      </c>
      <c r="C2" s="111" t="s">
        <v>693</v>
      </c>
      <c r="D2" s="118">
        <v>1</v>
      </c>
      <c r="F2" s="94">
        <v>2023</v>
      </c>
      <c r="G2" s="169" t="s">
        <v>557</v>
      </c>
      <c r="H2" s="170">
        <v>2</v>
      </c>
      <c r="K2" s="101">
        <v>2022</v>
      </c>
      <c r="L2" s="171" t="s">
        <v>559</v>
      </c>
      <c r="M2" s="166">
        <v>5000</v>
      </c>
      <c r="P2" s="160">
        <v>2021</v>
      </c>
      <c r="Q2" s="173" t="s">
        <v>557</v>
      </c>
      <c r="R2" s="162">
        <v>1.8</v>
      </c>
      <c r="U2" s="51">
        <v>2020</v>
      </c>
      <c r="V2" s="174" t="s">
        <v>693</v>
      </c>
      <c r="W2" s="170">
        <v>1</v>
      </c>
      <c r="Z2" s="188">
        <v>2019</v>
      </c>
      <c r="AA2" s="171" t="s">
        <v>883</v>
      </c>
      <c r="AB2" s="162">
        <v>1</v>
      </c>
      <c r="AE2" s="188">
        <v>2018</v>
      </c>
      <c r="AF2" s="171" t="s">
        <v>693</v>
      </c>
      <c r="AG2" s="162">
        <v>1</v>
      </c>
      <c r="AJ2" s="167">
        <v>2017</v>
      </c>
      <c r="AK2" s="168" t="s">
        <v>557</v>
      </c>
      <c r="AL2" s="166">
        <v>2.903</v>
      </c>
    </row>
    <row r="3" spans="2:39" x14ac:dyDescent="0.25">
      <c r="B3" s="46">
        <v>2020</v>
      </c>
      <c r="C3" s="111" t="s">
        <v>693</v>
      </c>
      <c r="D3" s="118">
        <v>1</v>
      </c>
      <c r="F3" s="94">
        <v>2023</v>
      </c>
      <c r="G3" s="169" t="s">
        <v>561</v>
      </c>
      <c r="H3" s="170">
        <v>20000</v>
      </c>
      <c r="K3" s="101">
        <v>2022</v>
      </c>
      <c r="L3" s="183" t="s">
        <v>583</v>
      </c>
      <c r="M3" s="183">
        <v>5000</v>
      </c>
      <c r="P3" s="165">
        <v>2021</v>
      </c>
      <c r="Q3" s="173" t="s">
        <v>557</v>
      </c>
      <c r="R3" s="166">
        <v>1.1000000000000001</v>
      </c>
      <c r="S3">
        <v>2.9</v>
      </c>
      <c r="U3" s="188">
        <v>2020</v>
      </c>
      <c r="V3" s="171" t="s">
        <v>693</v>
      </c>
      <c r="W3" s="162">
        <v>1</v>
      </c>
      <c r="Z3" s="51">
        <v>2019</v>
      </c>
      <c r="AA3" s="174" t="s">
        <v>883</v>
      </c>
      <c r="AB3" s="170">
        <v>1</v>
      </c>
      <c r="AE3" s="188">
        <v>2018</v>
      </c>
      <c r="AF3" s="171" t="s">
        <v>883</v>
      </c>
      <c r="AG3" s="162">
        <v>1</v>
      </c>
      <c r="AJ3" s="94">
        <v>2017</v>
      </c>
      <c r="AK3" s="184" t="s">
        <v>561</v>
      </c>
      <c r="AL3" s="164">
        <v>15858</v>
      </c>
    </row>
    <row r="4" spans="2:39" x14ac:dyDescent="0.25">
      <c r="B4" s="46">
        <v>2020</v>
      </c>
      <c r="C4" s="111" t="s">
        <v>693</v>
      </c>
      <c r="D4" s="118">
        <v>1</v>
      </c>
      <c r="F4" s="165">
        <v>2023</v>
      </c>
      <c r="G4" s="161" t="s">
        <v>561</v>
      </c>
      <c r="H4" s="162">
        <v>19419</v>
      </c>
      <c r="K4" s="98">
        <v>2022</v>
      </c>
      <c r="L4" s="169" t="s">
        <v>589</v>
      </c>
      <c r="M4" s="170">
        <v>26</v>
      </c>
      <c r="P4" s="102">
        <v>2021</v>
      </c>
      <c r="Q4" s="169" t="s">
        <v>654</v>
      </c>
      <c r="R4" s="164">
        <v>250</v>
      </c>
      <c r="U4" s="51">
        <v>2020</v>
      </c>
      <c r="V4" s="174" t="s">
        <v>693</v>
      </c>
      <c r="W4" s="170">
        <v>1</v>
      </c>
      <c r="Z4" s="188">
        <v>2019</v>
      </c>
      <c r="AA4" s="171" t="s">
        <v>883</v>
      </c>
      <c r="AB4" s="162">
        <v>1</v>
      </c>
      <c r="AE4" s="51">
        <v>2018</v>
      </c>
      <c r="AF4" s="174" t="s">
        <v>883</v>
      </c>
      <c r="AG4" s="170">
        <v>2</v>
      </c>
      <c r="AJ4" s="51">
        <v>2017</v>
      </c>
      <c r="AK4" s="176" t="s">
        <v>567</v>
      </c>
      <c r="AL4" s="170">
        <v>131</v>
      </c>
    </row>
    <row r="5" spans="2:39" x14ac:dyDescent="0.25">
      <c r="B5" s="46">
        <v>2020</v>
      </c>
      <c r="C5" s="111" t="s">
        <v>693</v>
      </c>
      <c r="D5" s="118">
        <v>1</v>
      </c>
      <c r="F5" s="94">
        <v>2023</v>
      </c>
      <c r="G5" s="194" t="s">
        <v>561</v>
      </c>
      <c r="H5" s="170">
        <v>29000</v>
      </c>
      <c r="K5" s="172">
        <v>2022</v>
      </c>
      <c r="L5" s="161" t="s">
        <v>589</v>
      </c>
      <c r="M5" s="162">
        <v>26</v>
      </c>
      <c r="P5" s="94">
        <v>2021</v>
      </c>
      <c r="Q5" s="194" t="s">
        <v>561</v>
      </c>
      <c r="R5" s="182">
        <v>48650</v>
      </c>
      <c r="U5" s="188">
        <v>2020</v>
      </c>
      <c r="V5" s="171" t="s">
        <v>693</v>
      </c>
      <c r="W5" s="162">
        <v>1</v>
      </c>
      <c r="X5">
        <v>4</v>
      </c>
      <c r="Z5" s="51">
        <v>2019</v>
      </c>
      <c r="AA5" s="174" t="s">
        <v>883</v>
      </c>
      <c r="AB5" s="170">
        <v>1</v>
      </c>
      <c r="AE5" s="188">
        <v>2018</v>
      </c>
      <c r="AF5" s="171" t="s">
        <v>883</v>
      </c>
      <c r="AG5" s="162">
        <v>1</v>
      </c>
      <c r="AJ5" s="188">
        <v>2017</v>
      </c>
      <c r="AK5" s="180" t="s">
        <v>571</v>
      </c>
      <c r="AL5" s="180">
        <v>478</v>
      </c>
    </row>
    <row r="6" spans="2:39" x14ac:dyDescent="0.25">
      <c r="B6" s="46">
        <v>2020</v>
      </c>
      <c r="C6" s="111" t="s">
        <v>693</v>
      </c>
      <c r="D6" s="118">
        <v>1</v>
      </c>
      <c r="F6" s="94">
        <v>2023</v>
      </c>
      <c r="G6" s="194" t="s">
        <v>561</v>
      </c>
      <c r="H6" s="179">
        <v>702</v>
      </c>
      <c r="I6">
        <f>Lentelė2[[#This Row],[suma]]+H5+H4+H3</f>
        <v>69121</v>
      </c>
      <c r="K6" s="98">
        <v>2022</v>
      </c>
      <c r="L6" s="169" t="s">
        <v>589</v>
      </c>
      <c r="M6" s="170">
        <v>44</v>
      </c>
      <c r="P6" s="165">
        <v>2021</v>
      </c>
      <c r="Q6" s="171" t="s">
        <v>561</v>
      </c>
      <c r="R6" s="162">
        <v>56350</v>
      </c>
      <c r="S6">
        <f>Lentelė4[[#This Row],[suma]]+R5</f>
        <v>105000</v>
      </c>
      <c r="U6" s="98">
        <v>2020</v>
      </c>
      <c r="V6" s="174" t="s">
        <v>883</v>
      </c>
      <c r="W6" s="170">
        <v>1</v>
      </c>
      <c r="Z6" s="188">
        <v>2019</v>
      </c>
      <c r="AA6" s="171" t="s">
        <v>883</v>
      </c>
      <c r="AB6" s="162">
        <v>1</v>
      </c>
      <c r="AE6" s="51">
        <v>2018</v>
      </c>
      <c r="AF6" s="174" t="s">
        <v>883</v>
      </c>
      <c r="AG6" s="170">
        <v>3</v>
      </c>
      <c r="AJ6" s="160">
        <v>2017</v>
      </c>
      <c r="AK6" s="168" t="s">
        <v>581</v>
      </c>
      <c r="AL6" s="166">
        <v>1</v>
      </c>
    </row>
    <row r="7" spans="2:39" x14ac:dyDescent="0.25">
      <c r="B7" s="46">
        <v>2018</v>
      </c>
      <c r="C7" s="111" t="s">
        <v>883</v>
      </c>
      <c r="D7" s="118">
        <v>1</v>
      </c>
      <c r="F7" s="165">
        <v>2023</v>
      </c>
      <c r="G7" s="161" t="s">
        <v>563</v>
      </c>
      <c r="H7" s="162">
        <v>494</v>
      </c>
      <c r="K7" s="172">
        <v>2022</v>
      </c>
      <c r="L7" s="161" t="s">
        <v>589</v>
      </c>
      <c r="M7" s="162">
        <v>61</v>
      </c>
      <c r="P7" s="165">
        <v>2021</v>
      </c>
      <c r="Q7" s="161" t="s">
        <v>563</v>
      </c>
      <c r="R7" s="162">
        <v>646</v>
      </c>
      <c r="U7" s="172">
        <v>2020</v>
      </c>
      <c r="V7" s="171" t="s">
        <v>883</v>
      </c>
      <c r="W7" s="162">
        <v>1</v>
      </c>
      <c r="Z7" s="51">
        <v>2019</v>
      </c>
      <c r="AA7" s="174" t="s">
        <v>883</v>
      </c>
      <c r="AB7" s="170">
        <v>1</v>
      </c>
      <c r="AE7" s="188">
        <v>2018</v>
      </c>
      <c r="AF7" s="171" t="s">
        <v>883</v>
      </c>
      <c r="AG7" s="162">
        <v>2</v>
      </c>
      <c r="AJ7" s="172">
        <v>2017</v>
      </c>
      <c r="AK7" s="161" t="s">
        <v>581</v>
      </c>
      <c r="AL7" s="166">
        <v>1</v>
      </c>
      <c r="AM7">
        <v>2</v>
      </c>
    </row>
    <row r="8" spans="2:39" x14ac:dyDescent="0.25">
      <c r="B8" s="46">
        <v>2018</v>
      </c>
      <c r="C8" s="111" t="s">
        <v>883</v>
      </c>
      <c r="D8" s="118">
        <v>2</v>
      </c>
      <c r="F8" s="165">
        <v>2023</v>
      </c>
      <c r="G8" s="181" t="s">
        <v>563</v>
      </c>
      <c r="H8" s="180">
        <v>16</v>
      </c>
      <c r="I8">
        <f>Lentelė2[[#This Row],[suma]]+H7</f>
        <v>510</v>
      </c>
      <c r="K8" s="98">
        <v>2022</v>
      </c>
      <c r="L8" s="169" t="s">
        <v>589</v>
      </c>
      <c r="M8" s="170">
        <v>177</v>
      </c>
      <c r="P8" s="172">
        <v>2021</v>
      </c>
      <c r="Q8" s="173" t="s">
        <v>567</v>
      </c>
      <c r="R8" s="162">
        <v>323</v>
      </c>
      <c r="U8" s="51">
        <v>2020</v>
      </c>
      <c r="V8" s="174" t="s">
        <v>883</v>
      </c>
      <c r="W8" s="170">
        <v>1</v>
      </c>
      <c r="Z8" s="188">
        <v>2019</v>
      </c>
      <c r="AA8" s="171" t="s">
        <v>883</v>
      </c>
      <c r="AB8" s="162">
        <v>1</v>
      </c>
      <c r="AE8" s="51">
        <v>2018</v>
      </c>
      <c r="AF8" s="174" t="s">
        <v>883</v>
      </c>
      <c r="AG8" s="170">
        <v>3</v>
      </c>
      <c r="AJ8" s="95">
        <v>2017</v>
      </c>
      <c r="AK8" s="163" t="s">
        <v>871</v>
      </c>
      <c r="AL8" s="164">
        <v>1</v>
      </c>
    </row>
    <row r="9" spans="2:39" x14ac:dyDescent="0.25">
      <c r="B9" s="46">
        <v>2018</v>
      </c>
      <c r="C9" s="111" t="s">
        <v>883</v>
      </c>
      <c r="D9" s="118">
        <v>1</v>
      </c>
      <c r="F9" s="172">
        <v>2023</v>
      </c>
      <c r="G9" s="180" t="s">
        <v>615</v>
      </c>
      <c r="H9" s="180">
        <v>1</v>
      </c>
      <c r="K9" s="172">
        <v>2022</v>
      </c>
      <c r="L9" s="161" t="s">
        <v>589</v>
      </c>
      <c r="M9" s="162">
        <v>54</v>
      </c>
      <c r="N9">
        <v>388</v>
      </c>
      <c r="P9" s="98">
        <v>2021</v>
      </c>
      <c r="Q9" s="176" t="s">
        <v>569</v>
      </c>
      <c r="R9" s="194">
        <v>7452</v>
      </c>
      <c r="U9" s="188">
        <v>2020</v>
      </c>
      <c r="V9" s="171" t="s">
        <v>883</v>
      </c>
      <c r="W9" s="162">
        <v>1</v>
      </c>
      <c r="Z9" s="51">
        <v>2019</v>
      </c>
      <c r="AA9" s="174" t="s">
        <v>883</v>
      </c>
      <c r="AB9" s="170">
        <v>1</v>
      </c>
      <c r="AE9" s="188">
        <v>2018</v>
      </c>
      <c r="AF9" s="171" t="s">
        <v>883</v>
      </c>
      <c r="AG9" s="162">
        <v>5</v>
      </c>
      <c r="AJ9" s="172">
        <v>2017</v>
      </c>
      <c r="AK9" s="168" t="s">
        <v>871</v>
      </c>
      <c r="AL9" s="166">
        <v>1</v>
      </c>
      <c r="AM9">
        <v>2</v>
      </c>
    </row>
    <row r="10" spans="2:39" x14ac:dyDescent="0.25">
      <c r="B10" s="46">
        <v>2018</v>
      </c>
      <c r="C10" s="111" t="s">
        <v>883</v>
      </c>
      <c r="D10" s="118">
        <v>1</v>
      </c>
      <c r="F10" s="97">
        <v>2023</v>
      </c>
      <c r="G10" s="187" t="s">
        <v>617</v>
      </c>
      <c r="H10" s="170">
        <v>1</v>
      </c>
      <c r="K10" s="98">
        <v>2022</v>
      </c>
      <c r="L10" s="174" t="s">
        <v>621</v>
      </c>
      <c r="M10" s="164">
        <v>80</v>
      </c>
      <c r="P10" s="172">
        <v>2021</v>
      </c>
      <c r="Q10" s="173" t="s">
        <v>569</v>
      </c>
      <c r="R10" s="181">
        <v>400</v>
      </c>
      <c r="S10">
        <f>Lentelė4[[#This Row],[suma]]+R9</f>
        <v>7852</v>
      </c>
      <c r="U10" s="51">
        <v>2020</v>
      </c>
      <c r="V10" s="174" t="s">
        <v>883</v>
      </c>
      <c r="W10" s="170">
        <v>1</v>
      </c>
      <c r="Z10" s="188">
        <v>2019</v>
      </c>
      <c r="AA10" s="171" t="s">
        <v>883</v>
      </c>
      <c r="AB10" s="162">
        <v>7</v>
      </c>
      <c r="AE10" s="51">
        <v>2018</v>
      </c>
      <c r="AF10" s="174" t="s">
        <v>883</v>
      </c>
      <c r="AG10" s="170">
        <v>1</v>
      </c>
      <c r="AJ10" s="188">
        <v>2017</v>
      </c>
      <c r="AK10" s="173" t="s">
        <v>611</v>
      </c>
      <c r="AL10" s="180">
        <v>0.65</v>
      </c>
    </row>
    <row r="11" spans="2:39" x14ac:dyDescent="0.25">
      <c r="B11" s="46">
        <v>2018</v>
      </c>
      <c r="C11" s="111" t="s">
        <v>883</v>
      </c>
      <c r="D11" s="118">
        <v>1</v>
      </c>
      <c r="F11" s="160">
        <v>2023</v>
      </c>
      <c r="G11" s="186" t="s">
        <v>617</v>
      </c>
      <c r="H11" s="162">
        <v>1</v>
      </c>
      <c r="K11" s="98">
        <v>2022</v>
      </c>
      <c r="L11" s="169" t="s">
        <v>623</v>
      </c>
      <c r="M11" s="164">
        <v>3938</v>
      </c>
      <c r="P11" s="172">
        <v>2021</v>
      </c>
      <c r="Q11" s="180" t="s">
        <v>571</v>
      </c>
      <c r="R11" s="180">
        <v>416</v>
      </c>
      <c r="U11" s="188">
        <v>2020</v>
      </c>
      <c r="V11" s="171" t="s">
        <v>883</v>
      </c>
      <c r="W11" s="162">
        <v>1</v>
      </c>
      <c r="Z11" s="51">
        <v>2019</v>
      </c>
      <c r="AA11" s="174" t="s">
        <v>883</v>
      </c>
      <c r="AB11" s="170">
        <v>1</v>
      </c>
      <c r="AE11" s="188">
        <v>2018</v>
      </c>
      <c r="AF11" s="171" t="s">
        <v>883</v>
      </c>
      <c r="AG11" s="162">
        <v>2</v>
      </c>
      <c r="AJ11" s="167">
        <v>2017</v>
      </c>
      <c r="AK11" s="186" t="s">
        <v>617</v>
      </c>
      <c r="AL11" s="166">
        <v>17</v>
      </c>
    </row>
    <row r="12" spans="2:39" x14ac:dyDescent="0.25">
      <c r="B12" s="46">
        <v>2018</v>
      </c>
      <c r="C12" s="111" t="s">
        <v>883</v>
      </c>
      <c r="D12" s="118">
        <v>1</v>
      </c>
      <c r="F12" s="172">
        <v>2023</v>
      </c>
      <c r="G12" s="173" t="s">
        <v>636</v>
      </c>
      <c r="H12" s="162">
        <v>2</v>
      </c>
      <c r="K12" s="214">
        <v>2022</v>
      </c>
      <c r="L12" s="204" t="s">
        <v>642</v>
      </c>
      <c r="M12" s="205">
        <v>800</v>
      </c>
      <c r="P12" s="51">
        <v>2021</v>
      </c>
      <c r="Q12" s="176" t="s">
        <v>573</v>
      </c>
      <c r="R12" s="170">
        <v>3200</v>
      </c>
      <c r="U12" s="51">
        <v>2020</v>
      </c>
      <c r="V12" s="174" t="s">
        <v>883</v>
      </c>
      <c r="W12" s="170">
        <v>1</v>
      </c>
      <c r="Z12" s="188">
        <v>2019</v>
      </c>
      <c r="AA12" s="171" t="s">
        <v>883</v>
      </c>
      <c r="AB12" s="162">
        <v>1</v>
      </c>
      <c r="AE12" s="188">
        <v>2018</v>
      </c>
      <c r="AF12" s="171" t="s">
        <v>883</v>
      </c>
      <c r="AG12" s="162">
        <v>1</v>
      </c>
      <c r="AJ12" s="98">
        <v>2017</v>
      </c>
      <c r="AK12" s="169" t="s">
        <v>621</v>
      </c>
      <c r="AL12" s="170">
        <v>3</v>
      </c>
    </row>
    <row r="13" spans="2:39" x14ac:dyDescent="0.25">
      <c r="B13" s="46">
        <v>2018</v>
      </c>
      <c r="C13" s="111" t="s">
        <v>883</v>
      </c>
      <c r="D13" s="118">
        <v>1</v>
      </c>
      <c r="F13" s="224">
        <v>2023</v>
      </c>
      <c r="G13" s="225" t="s">
        <v>703</v>
      </c>
      <c r="H13" s="226">
        <v>1.8509599999999999E-4</v>
      </c>
      <c r="K13" s="107">
        <v>2022</v>
      </c>
      <c r="L13" s="201" t="s">
        <v>642</v>
      </c>
      <c r="M13" s="202">
        <v>1588</v>
      </c>
      <c r="N13">
        <v>2388</v>
      </c>
      <c r="P13" s="98">
        <v>2021</v>
      </c>
      <c r="Q13" s="169" t="s">
        <v>573</v>
      </c>
      <c r="R13" s="194">
        <v>400</v>
      </c>
      <c r="S13">
        <f>Lentelė4[[#This Row],[suma]]+R12</f>
        <v>3600</v>
      </c>
      <c r="U13" s="188">
        <v>2020</v>
      </c>
      <c r="V13" s="171" t="s">
        <v>883</v>
      </c>
      <c r="W13" s="162">
        <v>1</v>
      </c>
      <c r="Z13" s="51">
        <v>2019</v>
      </c>
      <c r="AA13" s="174" t="s">
        <v>883</v>
      </c>
      <c r="AB13" s="170">
        <v>1</v>
      </c>
      <c r="AE13" s="51">
        <v>2018</v>
      </c>
      <c r="AF13" s="174" t="s">
        <v>883</v>
      </c>
      <c r="AG13" s="170">
        <v>1</v>
      </c>
      <c r="AJ13" s="95">
        <v>2017</v>
      </c>
      <c r="AK13" s="176" t="s">
        <v>703</v>
      </c>
      <c r="AL13" s="179">
        <v>7.9899999999999999E-2</v>
      </c>
    </row>
    <row r="14" spans="2:39" x14ac:dyDescent="0.25">
      <c r="B14" s="46">
        <v>2018</v>
      </c>
      <c r="C14" s="111" t="s">
        <v>883</v>
      </c>
      <c r="D14" s="118">
        <v>1</v>
      </c>
      <c r="P14" s="98">
        <v>2021</v>
      </c>
      <c r="Q14" s="169" t="s">
        <v>589</v>
      </c>
      <c r="R14" s="170">
        <v>66</v>
      </c>
      <c r="U14" s="51">
        <v>2020</v>
      </c>
      <c r="V14" s="174" t="s">
        <v>883</v>
      </c>
      <c r="W14" s="170">
        <v>1</v>
      </c>
      <c r="Z14" s="172">
        <v>2019</v>
      </c>
      <c r="AA14" s="171" t="s">
        <v>883</v>
      </c>
      <c r="AB14" s="162">
        <v>1</v>
      </c>
      <c r="AC14">
        <v>19</v>
      </c>
      <c r="AE14" s="51">
        <v>2018</v>
      </c>
      <c r="AF14" s="174" t="s">
        <v>883</v>
      </c>
      <c r="AG14" s="170">
        <v>1</v>
      </c>
      <c r="AJ14" s="51">
        <v>2017</v>
      </c>
      <c r="AK14" s="174" t="s">
        <v>877</v>
      </c>
      <c r="AL14" s="170">
        <v>1</v>
      </c>
    </row>
    <row r="15" spans="2:39" x14ac:dyDescent="0.25">
      <c r="B15" s="46">
        <v>2018</v>
      </c>
      <c r="C15" s="111" t="s">
        <v>883</v>
      </c>
      <c r="D15" s="118">
        <v>1</v>
      </c>
      <c r="P15" s="102">
        <v>2021</v>
      </c>
      <c r="Q15" s="179" t="s">
        <v>694</v>
      </c>
      <c r="R15" s="179">
        <v>1</v>
      </c>
      <c r="U15" s="188">
        <v>2020</v>
      </c>
      <c r="V15" s="171" t="s">
        <v>883</v>
      </c>
      <c r="W15" s="162">
        <v>1</v>
      </c>
      <c r="Z15" s="172">
        <v>2019</v>
      </c>
      <c r="AA15" s="180" t="s">
        <v>867</v>
      </c>
      <c r="AB15" s="180">
        <v>812</v>
      </c>
      <c r="AE15" s="51">
        <v>2018</v>
      </c>
      <c r="AF15" s="174" t="s">
        <v>883</v>
      </c>
      <c r="AG15" s="170">
        <v>1</v>
      </c>
      <c r="AJ15" s="185">
        <v>2017</v>
      </c>
      <c r="AK15" s="171" t="s">
        <v>882</v>
      </c>
      <c r="AL15" s="166">
        <v>1</v>
      </c>
    </row>
    <row r="16" spans="2:39" x14ac:dyDescent="0.25">
      <c r="B16" s="46">
        <v>2018</v>
      </c>
      <c r="C16" s="111" t="s">
        <v>883</v>
      </c>
      <c r="D16" s="118">
        <v>2</v>
      </c>
      <c r="P16" s="51">
        <v>2021</v>
      </c>
      <c r="Q16" s="169" t="s">
        <v>664</v>
      </c>
      <c r="R16" s="182">
        <v>1</v>
      </c>
      <c r="U16" s="51">
        <v>2020</v>
      </c>
      <c r="V16" s="174" t="s">
        <v>883</v>
      </c>
      <c r="W16" s="170">
        <v>1</v>
      </c>
      <c r="Z16" s="51">
        <v>2019</v>
      </c>
      <c r="AA16" s="179" t="s">
        <v>867</v>
      </c>
      <c r="AB16" s="179">
        <v>177</v>
      </c>
      <c r="AE16" s="188">
        <v>2018</v>
      </c>
      <c r="AF16" s="171" t="s">
        <v>883</v>
      </c>
      <c r="AG16" s="162">
        <v>1</v>
      </c>
    </row>
    <row r="17" spans="2:34" x14ac:dyDescent="0.25">
      <c r="B17" s="46">
        <v>2018</v>
      </c>
      <c r="C17" s="111" t="s">
        <v>883</v>
      </c>
      <c r="D17" s="118">
        <v>1</v>
      </c>
      <c r="P17" s="165">
        <v>2021</v>
      </c>
      <c r="Q17" s="168" t="s">
        <v>605</v>
      </c>
      <c r="R17" s="162">
        <v>4</v>
      </c>
      <c r="S17" s="6"/>
      <c r="U17" s="188">
        <v>2020</v>
      </c>
      <c r="V17" s="171" t="s">
        <v>883</v>
      </c>
      <c r="W17" s="162">
        <v>1</v>
      </c>
      <c r="Z17" s="188">
        <v>2019</v>
      </c>
      <c r="AA17" s="180" t="s">
        <v>867</v>
      </c>
      <c r="AB17" s="180">
        <v>877</v>
      </c>
      <c r="AE17" s="51">
        <v>2018</v>
      </c>
      <c r="AF17" s="174" t="s">
        <v>883</v>
      </c>
      <c r="AG17" s="170">
        <v>1</v>
      </c>
    </row>
    <row r="18" spans="2:34" x14ac:dyDescent="0.25">
      <c r="B18" s="46">
        <v>2018</v>
      </c>
      <c r="C18" s="111" t="s">
        <v>883</v>
      </c>
      <c r="D18" s="118">
        <v>7</v>
      </c>
      <c r="P18" s="98">
        <v>2021</v>
      </c>
      <c r="Q18" s="176" t="s">
        <v>611</v>
      </c>
      <c r="R18" s="180">
        <v>9.8369999999999997</v>
      </c>
      <c r="S18" s="6"/>
      <c r="U18" s="51">
        <v>2020</v>
      </c>
      <c r="V18" s="174" t="s">
        <v>883</v>
      </c>
      <c r="W18" s="170">
        <v>1</v>
      </c>
      <c r="Z18" s="51">
        <v>2019</v>
      </c>
      <c r="AA18" s="179" t="s">
        <v>867</v>
      </c>
      <c r="AB18" s="179">
        <v>406</v>
      </c>
      <c r="AE18" s="188">
        <v>2018</v>
      </c>
      <c r="AF18" s="171" t="s">
        <v>883</v>
      </c>
      <c r="AG18" s="162">
        <v>2</v>
      </c>
    </row>
    <row r="19" spans="2:34" x14ac:dyDescent="0.25">
      <c r="B19" s="46">
        <v>2018</v>
      </c>
      <c r="C19" s="111" t="s">
        <v>883</v>
      </c>
      <c r="D19" s="118">
        <v>14</v>
      </c>
      <c r="P19" s="94">
        <v>2021</v>
      </c>
      <c r="Q19" s="176" t="s">
        <v>617</v>
      </c>
      <c r="R19" s="179">
        <v>1</v>
      </c>
      <c r="U19" s="188">
        <v>2020</v>
      </c>
      <c r="V19" s="171" t="s">
        <v>883</v>
      </c>
      <c r="W19" s="162">
        <v>1</v>
      </c>
      <c r="Z19" s="188">
        <v>2019</v>
      </c>
      <c r="AA19" s="180" t="s">
        <v>867</v>
      </c>
      <c r="AB19" s="180">
        <v>635</v>
      </c>
      <c r="AE19" s="51">
        <v>2018</v>
      </c>
      <c r="AF19" s="174" t="s">
        <v>883</v>
      </c>
      <c r="AG19" s="170">
        <v>1</v>
      </c>
    </row>
    <row r="20" spans="2:34" x14ac:dyDescent="0.25">
      <c r="B20" s="46">
        <v>2018</v>
      </c>
      <c r="C20" s="111" t="s">
        <v>883</v>
      </c>
      <c r="D20" s="118">
        <v>5</v>
      </c>
      <c r="P20" s="94">
        <v>2021</v>
      </c>
      <c r="Q20" s="174" t="s">
        <v>619</v>
      </c>
      <c r="R20" s="170">
        <v>1</v>
      </c>
      <c r="U20" s="51">
        <v>2020</v>
      </c>
      <c r="V20" s="174" t="s">
        <v>883</v>
      </c>
      <c r="W20" s="170">
        <v>1</v>
      </c>
      <c r="Z20" s="51">
        <v>2019</v>
      </c>
      <c r="AA20" s="179" t="s">
        <v>867</v>
      </c>
      <c r="AB20" s="179">
        <v>841</v>
      </c>
      <c r="AE20" s="188">
        <v>2018</v>
      </c>
      <c r="AF20" s="171" t="s">
        <v>883</v>
      </c>
      <c r="AG20" s="162">
        <v>7</v>
      </c>
    </row>
    <row r="21" spans="2:34" x14ac:dyDescent="0.25">
      <c r="B21" s="46">
        <v>2018</v>
      </c>
      <c r="C21" s="111" t="s">
        <v>883</v>
      </c>
      <c r="D21" s="118">
        <v>2</v>
      </c>
      <c r="P21" s="172">
        <v>2021</v>
      </c>
      <c r="Q21" s="161" t="s">
        <v>619</v>
      </c>
      <c r="R21" s="162">
        <v>1</v>
      </c>
      <c r="U21" s="188">
        <v>2020</v>
      </c>
      <c r="V21" s="171" t="s">
        <v>883</v>
      </c>
      <c r="W21" s="162">
        <v>1</v>
      </c>
      <c r="Z21" s="188">
        <v>2019</v>
      </c>
      <c r="AA21" s="180" t="s">
        <v>867</v>
      </c>
      <c r="AB21" s="180">
        <v>752</v>
      </c>
      <c r="AE21" s="51">
        <v>2018</v>
      </c>
      <c r="AF21" s="174" t="s">
        <v>883</v>
      </c>
      <c r="AG21" s="170">
        <v>14</v>
      </c>
    </row>
    <row r="22" spans="2:34" x14ac:dyDescent="0.25">
      <c r="B22" s="46">
        <v>2018</v>
      </c>
      <c r="C22" s="111" t="s">
        <v>883</v>
      </c>
      <c r="D22" s="118">
        <v>1</v>
      </c>
      <c r="P22" s="98">
        <v>2021</v>
      </c>
      <c r="Q22" s="169" t="s">
        <v>619</v>
      </c>
      <c r="R22" s="170">
        <v>1</v>
      </c>
      <c r="S22">
        <v>3</v>
      </c>
      <c r="U22" s="51">
        <v>2020</v>
      </c>
      <c r="V22" s="174" t="s">
        <v>883</v>
      </c>
      <c r="W22" s="170">
        <v>1</v>
      </c>
      <c r="X22">
        <v>17</v>
      </c>
      <c r="Z22" s="51">
        <v>2019</v>
      </c>
      <c r="AA22" s="179" t="s">
        <v>867</v>
      </c>
      <c r="AB22" s="179">
        <v>279</v>
      </c>
      <c r="AE22" s="188">
        <v>2018</v>
      </c>
      <c r="AF22" s="171" t="s">
        <v>883</v>
      </c>
      <c r="AG22" s="162">
        <v>5</v>
      </c>
      <c r="AH22">
        <v>55</v>
      </c>
    </row>
    <row r="23" spans="2:34" x14ac:dyDescent="0.25">
      <c r="B23" s="46">
        <v>2018</v>
      </c>
      <c r="C23" s="111" t="s">
        <v>883</v>
      </c>
      <c r="D23" s="118">
        <v>3</v>
      </c>
      <c r="P23" s="172">
        <v>2021</v>
      </c>
      <c r="Q23" s="161" t="s">
        <v>623</v>
      </c>
      <c r="R23" s="166">
        <v>40000</v>
      </c>
      <c r="U23" s="51">
        <v>2020</v>
      </c>
      <c r="V23" s="179" t="s">
        <v>867</v>
      </c>
      <c r="W23" s="179">
        <v>65</v>
      </c>
      <c r="Z23" s="188">
        <v>2019</v>
      </c>
      <c r="AA23" s="180" t="s">
        <v>867</v>
      </c>
      <c r="AB23" s="180">
        <v>239</v>
      </c>
      <c r="AE23" s="51">
        <v>2018</v>
      </c>
      <c r="AF23" s="174" t="s">
        <v>867</v>
      </c>
      <c r="AG23" s="179">
        <v>24</v>
      </c>
    </row>
    <row r="24" spans="2:34" x14ac:dyDescent="0.25">
      <c r="B24" s="46">
        <v>2018</v>
      </c>
      <c r="C24" s="111" t="s">
        <v>883</v>
      </c>
      <c r="D24" s="118">
        <v>2</v>
      </c>
      <c r="P24" s="213">
        <v>2021</v>
      </c>
      <c r="Q24" s="204" t="s">
        <v>642</v>
      </c>
      <c r="R24" s="205">
        <v>1000</v>
      </c>
      <c r="U24" s="188">
        <v>2020</v>
      </c>
      <c r="V24" s="180" t="s">
        <v>867</v>
      </c>
      <c r="W24" s="180">
        <v>157</v>
      </c>
      <c r="Z24" s="51">
        <v>2019</v>
      </c>
      <c r="AA24" s="179" t="s">
        <v>867</v>
      </c>
      <c r="AB24" s="179">
        <v>273</v>
      </c>
      <c r="AE24" s="188">
        <v>2018</v>
      </c>
      <c r="AF24" s="180" t="s">
        <v>867</v>
      </c>
      <c r="AG24" s="180">
        <v>177</v>
      </c>
    </row>
    <row r="25" spans="2:34" x14ac:dyDescent="0.25">
      <c r="B25" s="46">
        <v>2018</v>
      </c>
      <c r="C25" s="111" t="s">
        <v>883</v>
      </c>
      <c r="D25" s="118">
        <v>3</v>
      </c>
      <c r="P25" s="107">
        <v>2021</v>
      </c>
      <c r="Q25" s="201" t="s">
        <v>642</v>
      </c>
      <c r="R25" s="202">
        <v>2500</v>
      </c>
      <c r="U25" s="51">
        <v>2020</v>
      </c>
      <c r="V25" s="179" t="s">
        <v>867</v>
      </c>
      <c r="W25" s="179">
        <v>156</v>
      </c>
      <c r="Z25" s="188">
        <v>2019</v>
      </c>
      <c r="AA25" s="180" t="s">
        <v>867</v>
      </c>
      <c r="AB25" s="180">
        <v>750</v>
      </c>
      <c r="AE25" s="188">
        <v>2018</v>
      </c>
      <c r="AF25" s="180" t="s">
        <v>867</v>
      </c>
      <c r="AG25" s="180">
        <v>543</v>
      </c>
    </row>
    <row r="26" spans="2:34" x14ac:dyDescent="0.25">
      <c r="B26" s="46">
        <v>2018</v>
      </c>
      <c r="C26" s="111" t="s">
        <v>883</v>
      </c>
      <c r="D26" s="118">
        <v>5</v>
      </c>
      <c r="P26" s="203">
        <v>2021</v>
      </c>
      <c r="Q26" s="204" t="s">
        <v>642</v>
      </c>
      <c r="R26" s="205">
        <v>1275</v>
      </c>
      <c r="S26">
        <v>4775</v>
      </c>
      <c r="U26" s="188">
        <v>2020</v>
      </c>
      <c r="V26" s="180" t="s">
        <v>867</v>
      </c>
      <c r="W26" s="180">
        <v>503</v>
      </c>
      <c r="Z26" s="51">
        <v>2019</v>
      </c>
      <c r="AA26" s="179" t="s">
        <v>867</v>
      </c>
      <c r="AB26" s="179">
        <v>872</v>
      </c>
      <c r="AE26" s="188">
        <v>2018</v>
      </c>
      <c r="AF26" s="180" t="s">
        <v>867</v>
      </c>
      <c r="AG26" s="180">
        <v>263</v>
      </c>
    </row>
    <row r="27" spans="2:34" x14ac:dyDescent="0.25">
      <c r="B27" s="91">
        <v>2019</v>
      </c>
      <c r="C27" s="111" t="s">
        <v>883</v>
      </c>
      <c r="D27" s="118">
        <v>1</v>
      </c>
      <c r="P27" s="188">
        <v>2021</v>
      </c>
      <c r="Q27" s="161" t="s">
        <v>631</v>
      </c>
      <c r="R27" s="166">
        <v>19</v>
      </c>
      <c r="U27" s="188">
        <v>2020</v>
      </c>
      <c r="V27" s="180" t="s">
        <v>867</v>
      </c>
      <c r="W27" s="180">
        <v>1451</v>
      </c>
      <c r="Z27" s="188">
        <v>2019</v>
      </c>
      <c r="AA27" s="180" t="s">
        <v>867</v>
      </c>
      <c r="AB27" s="180">
        <v>728</v>
      </c>
      <c r="AC27">
        <v>7641</v>
      </c>
      <c r="AE27" s="51">
        <v>2018</v>
      </c>
      <c r="AF27" s="179" t="s">
        <v>867</v>
      </c>
      <c r="AG27" s="179">
        <v>402</v>
      </c>
    </row>
    <row r="28" spans="2:34" x14ac:dyDescent="0.25">
      <c r="B28" s="46">
        <v>2019</v>
      </c>
      <c r="C28" s="111" t="s">
        <v>883</v>
      </c>
      <c r="D28" s="118">
        <v>1</v>
      </c>
      <c r="P28" s="188">
        <v>2021</v>
      </c>
      <c r="Q28" s="161" t="s">
        <v>633</v>
      </c>
      <c r="R28" s="180">
        <v>23</v>
      </c>
      <c r="U28" s="51">
        <v>2020</v>
      </c>
      <c r="V28" s="179" t="s">
        <v>867</v>
      </c>
      <c r="W28" s="179">
        <v>750</v>
      </c>
      <c r="Z28" s="51">
        <v>2019</v>
      </c>
      <c r="AA28" s="176" t="s">
        <v>868</v>
      </c>
      <c r="AB28" s="179">
        <v>1</v>
      </c>
      <c r="AE28" s="51">
        <v>2018</v>
      </c>
      <c r="AF28" s="179" t="s">
        <v>867</v>
      </c>
      <c r="AG28" s="179">
        <v>335</v>
      </c>
    </row>
    <row r="29" spans="2:34" x14ac:dyDescent="0.25">
      <c r="B29" s="46">
        <v>2019</v>
      </c>
      <c r="C29" s="111" t="s">
        <v>883</v>
      </c>
      <c r="D29" s="118">
        <v>1</v>
      </c>
      <c r="P29" s="94">
        <v>2021</v>
      </c>
      <c r="Q29" s="174" t="s">
        <v>638</v>
      </c>
      <c r="R29" s="179">
        <v>31</v>
      </c>
      <c r="U29" s="188">
        <v>2020</v>
      </c>
      <c r="V29" s="180" t="s">
        <v>867</v>
      </c>
      <c r="W29" s="180">
        <v>781</v>
      </c>
      <c r="Z29" s="188">
        <v>2019</v>
      </c>
      <c r="AA29" s="173" t="s">
        <v>868</v>
      </c>
      <c r="AB29" s="180">
        <v>1</v>
      </c>
      <c r="AE29" s="188">
        <v>2018</v>
      </c>
      <c r="AF29" s="180" t="s">
        <v>867</v>
      </c>
      <c r="AG29" s="180">
        <v>410</v>
      </c>
    </row>
    <row r="30" spans="2:34" x14ac:dyDescent="0.25">
      <c r="B30" s="46">
        <v>2019</v>
      </c>
      <c r="C30" s="111" t="s">
        <v>883</v>
      </c>
      <c r="D30" s="118">
        <v>1</v>
      </c>
      <c r="P30" s="172">
        <v>2021</v>
      </c>
      <c r="Q30" s="161" t="s">
        <v>638</v>
      </c>
      <c r="R30" s="180">
        <v>40</v>
      </c>
      <c r="U30" s="51">
        <v>2020</v>
      </c>
      <c r="V30" s="179" t="s">
        <v>867</v>
      </c>
      <c r="W30" s="179">
        <v>254</v>
      </c>
      <c r="Z30" s="51">
        <v>2019</v>
      </c>
      <c r="AA30" s="176" t="s">
        <v>868</v>
      </c>
      <c r="AB30" s="179">
        <v>1</v>
      </c>
      <c r="AE30" s="51">
        <v>2018</v>
      </c>
      <c r="AF30" s="179" t="s">
        <v>867</v>
      </c>
      <c r="AG30" s="179">
        <v>392</v>
      </c>
    </row>
    <row r="31" spans="2:34" x14ac:dyDescent="0.25">
      <c r="B31" s="46">
        <v>2019</v>
      </c>
      <c r="C31" s="111" t="s">
        <v>883</v>
      </c>
      <c r="D31" s="118">
        <v>1</v>
      </c>
      <c r="P31" s="98">
        <v>2021</v>
      </c>
      <c r="Q31" s="169" t="s">
        <v>638</v>
      </c>
      <c r="R31" s="179">
        <v>60</v>
      </c>
      <c r="S31">
        <v>131</v>
      </c>
      <c r="U31" s="188">
        <v>2020</v>
      </c>
      <c r="V31" s="180" t="s">
        <v>867</v>
      </c>
      <c r="W31" s="180">
        <v>264</v>
      </c>
      <c r="Z31" s="188">
        <v>2019</v>
      </c>
      <c r="AA31" s="173" t="s">
        <v>868</v>
      </c>
      <c r="AB31" s="180">
        <v>1</v>
      </c>
      <c r="AE31" s="188">
        <v>2018</v>
      </c>
      <c r="AF31" s="180" t="s">
        <v>867</v>
      </c>
      <c r="AG31" s="180">
        <v>747</v>
      </c>
    </row>
    <row r="32" spans="2:34" x14ac:dyDescent="0.25">
      <c r="B32" s="46">
        <v>2019</v>
      </c>
      <c r="C32" s="111" t="s">
        <v>883</v>
      </c>
      <c r="D32" s="118">
        <v>1</v>
      </c>
      <c r="P32" s="165">
        <v>2021</v>
      </c>
      <c r="Q32" s="173" t="s">
        <v>668</v>
      </c>
      <c r="R32" s="180">
        <v>23</v>
      </c>
      <c r="U32" s="172">
        <v>2020</v>
      </c>
      <c r="V32" s="180" t="s">
        <v>867</v>
      </c>
      <c r="W32" s="180">
        <v>553</v>
      </c>
      <c r="Z32" s="51">
        <v>2019</v>
      </c>
      <c r="AA32" s="176" t="s">
        <v>868</v>
      </c>
      <c r="AB32" s="179">
        <v>1</v>
      </c>
      <c r="AE32" s="51">
        <v>2018</v>
      </c>
      <c r="AF32" s="174" t="s">
        <v>867</v>
      </c>
      <c r="AG32" s="179">
        <v>488</v>
      </c>
    </row>
    <row r="33" spans="2:34" x14ac:dyDescent="0.25">
      <c r="B33" s="46">
        <v>2019</v>
      </c>
      <c r="C33" s="111" t="s">
        <v>883</v>
      </c>
      <c r="D33" s="118">
        <v>1</v>
      </c>
      <c r="P33" s="98">
        <v>2021</v>
      </c>
      <c r="Q33" s="176" t="s">
        <v>668</v>
      </c>
      <c r="R33" s="179">
        <v>25</v>
      </c>
      <c r="S33" s="4"/>
      <c r="U33" s="98">
        <v>2020</v>
      </c>
      <c r="V33" s="179" t="s">
        <v>867</v>
      </c>
      <c r="W33" s="179">
        <v>584</v>
      </c>
      <c r="Z33" s="188">
        <v>2019</v>
      </c>
      <c r="AA33" s="173" t="s">
        <v>868</v>
      </c>
      <c r="AB33" s="180">
        <v>1</v>
      </c>
      <c r="AE33" s="188">
        <v>2018</v>
      </c>
      <c r="AF33" s="171" t="s">
        <v>867</v>
      </c>
      <c r="AG33" s="180">
        <v>653</v>
      </c>
    </row>
    <row r="34" spans="2:34" x14ac:dyDescent="0.25">
      <c r="B34" s="46">
        <v>2019</v>
      </c>
      <c r="C34" s="111" t="s">
        <v>883</v>
      </c>
      <c r="D34" s="118">
        <v>1</v>
      </c>
      <c r="P34" s="222">
        <v>2021</v>
      </c>
      <c r="Q34" s="230" t="s">
        <v>668</v>
      </c>
      <c r="R34" s="223">
        <v>20</v>
      </c>
      <c r="S34" s="4">
        <v>68</v>
      </c>
      <c r="U34" s="188">
        <v>2020</v>
      </c>
      <c r="V34" s="180" t="s">
        <v>867</v>
      </c>
      <c r="W34" s="180">
        <v>140</v>
      </c>
      <c r="Z34" s="51">
        <v>2019</v>
      </c>
      <c r="AA34" s="176" t="s">
        <v>868</v>
      </c>
      <c r="AB34" s="179">
        <v>1</v>
      </c>
      <c r="AE34" s="51">
        <v>2018</v>
      </c>
      <c r="AF34" s="179" t="s">
        <v>867</v>
      </c>
      <c r="AG34" s="179">
        <v>637</v>
      </c>
    </row>
    <row r="35" spans="2:34" x14ac:dyDescent="0.25">
      <c r="B35" s="46">
        <v>2019</v>
      </c>
      <c r="C35" s="111" t="s">
        <v>883</v>
      </c>
      <c r="D35" s="118">
        <v>1</v>
      </c>
      <c r="U35" s="188">
        <v>2020</v>
      </c>
      <c r="V35" s="180" t="s">
        <v>867</v>
      </c>
      <c r="W35" s="180">
        <v>82</v>
      </c>
      <c r="Z35" s="188">
        <v>2019</v>
      </c>
      <c r="AA35" s="173" t="s">
        <v>868</v>
      </c>
      <c r="AB35" s="180">
        <v>1</v>
      </c>
      <c r="AE35" s="188">
        <v>2018</v>
      </c>
      <c r="AF35" s="171" t="s">
        <v>867</v>
      </c>
      <c r="AG35" s="162">
        <v>48</v>
      </c>
    </row>
    <row r="36" spans="2:34" x14ac:dyDescent="0.25">
      <c r="B36" s="46">
        <v>2019</v>
      </c>
      <c r="C36" s="111" t="s">
        <v>883</v>
      </c>
      <c r="D36" s="118">
        <v>7</v>
      </c>
      <c r="U36" s="51">
        <v>2020</v>
      </c>
      <c r="V36" s="179" t="s">
        <v>867</v>
      </c>
      <c r="W36" s="179">
        <v>166</v>
      </c>
      <c r="Z36" s="51">
        <v>2019</v>
      </c>
      <c r="AA36" s="176" t="s">
        <v>868</v>
      </c>
      <c r="AB36" s="179">
        <v>1</v>
      </c>
      <c r="AE36" s="51">
        <v>2018</v>
      </c>
      <c r="AF36" s="176" t="s">
        <v>867</v>
      </c>
      <c r="AG36" s="170">
        <v>747</v>
      </c>
    </row>
    <row r="37" spans="2:34" x14ac:dyDescent="0.25">
      <c r="B37" s="46">
        <v>2019</v>
      </c>
      <c r="C37" s="111" t="s">
        <v>883</v>
      </c>
      <c r="D37" s="118">
        <v>1</v>
      </c>
      <c r="U37" s="188">
        <v>2020</v>
      </c>
      <c r="V37" s="180" t="s">
        <v>867</v>
      </c>
      <c r="W37" s="180">
        <v>156</v>
      </c>
      <c r="Z37" s="188">
        <v>2019</v>
      </c>
      <c r="AA37" s="173" t="s">
        <v>868</v>
      </c>
      <c r="AB37" s="180">
        <v>1</v>
      </c>
      <c r="AE37" s="188">
        <v>2018</v>
      </c>
      <c r="AF37" s="180" t="s">
        <v>867</v>
      </c>
      <c r="AG37" s="180">
        <v>857</v>
      </c>
    </row>
    <row r="38" spans="2:34" x14ac:dyDescent="0.25">
      <c r="B38" s="46">
        <v>2019</v>
      </c>
      <c r="C38" s="111" t="s">
        <v>883</v>
      </c>
      <c r="D38" s="118">
        <v>1</v>
      </c>
      <c r="U38" s="51">
        <v>2020</v>
      </c>
      <c r="V38" s="179" t="s">
        <v>867</v>
      </c>
      <c r="W38" s="179">
        <v>130</v>
      </c>
      <c r="Z38" s="51">
        <v>2019</v>
      </c>
      <c r="AA38" s="176" t="s">
        <v>868</v>
      </c>
      <c r="AB38" s="179">
        <v>1</v>
      </c>
      <c r="AE38" s="51">
        <v>2018</v>
      </c>
      <c r="AF38" s="179" t="s">
        <v>867</v>
      </c>
      <c r="AG38" s="179">
        <v>747</v>
      </c>
    </row>
    <row r="39" spans="2:34" x14ac:dyDescent="0.25">
      <c r="B39" s="46">
        <v>2019</v>
      </c>
      <c r="C39" s="111" t="s">
        <v>883</v>
      </c>
      <c r="D39" s="118">
        <v>1</v>
      </c>
      <c r="U39" s="51">
        <v>2020</v>
      </c>
      <c r="V39" s="179" t="s">
        <v>867</v>
      </c>
      <c r="W39" s="179">
        <v>1121</v>
      </c>
      <c r="X39">
        <v>7313</v>
      </c>
      <c r="Z39" s="188">
        <v>2019</v>
      </c>
      <c r="AA39" s="173" t="s">
        <v>868</v>
      </c>
      <c r="AB39" s="180">
        <v>1</v>
      </c>
      <c r="AE39" s="188">
        <v>2018</v>
      </c>
      <c r="AF39" s="180" t="s">
        <v>867</v>
      </c>
      <c r="AG39" s="180">
        <v>882</v>
      </c>
    </row>
    <row r="40" spans="2:34" x14ac:dyDescent="0.25">
      <c r="B40" s="91">
        <v>2020</v>
      </c>
      <c r="C40" s="111" t="s">
        <v>883</v>
      </c>
      <c r="D40" s="118">
        <v>1</v>
      </c>
      <c r="U40" s="188">
        <v>2020</v>
      </c>
      <c r="V40" s="173" t="s">
        <v>868</v>
      </c>
      <c r="W40" s="180">
        <v>1</v>
      </c>
      <c r="Z40" s="98">
        <v>2019</v>
      </c>
      <c r="AA40" s="176" t="s">
        <v>868</v>
      </c>
      <c r="AB40" s="179">
        <v>1</v>
      </c>
      <c r="AC40">
        <v>13</v>
      </c>
      <c r="AE40" s="51">
        <v>2018</v>
      </c>
      <c r="AF40" s="179" t="s">
        <v>867</v>
      </c>
      <c r="AG40" s="179">
        <v>859</v>
      </c>
    </row>
    <row r="41" spans="2:34" x14ac:dyDescent="0.25">
      <c r="B41" s="91">
        <v>2020</v>
      </c>
      <c r="C41" s="111" t="s">
        <v>883</v>
      </c>
      <c r="D41" s="118">
        <v>1</v>
      </c>
      <c r="U41" s="188">
        <v>2020</v>
      </c>
      <c r="V41" s="173" t="s">
        <v>868</v>
      </c>
      <c r="W41" s="180">
        <v>1</v>
      </c>
      <c r="Z41" s="178">
        <v>2019</v>
      </c>
      <c r="AA41" s="169" t="s">
        <v>555</v>
      </c>
      <c r="AB41" s="164">
        <v>200</v>
      </c>
      <c r="AE41" s="188">
        <v>2018</v>
      </c>
      <c r="AF41" s="180" t="s">
        <v>867</v>
      </c>
      <c r="AG41" s="180">
        <v>823</v>
      </c>
    </row>
    <row r="42" spans="2:34" x14ac:dyDescent="0.25">
      <c r="B42" s="46">
        <v>2020</v>
      </c>
      <c r="C42" s="111" t="s">
        <v>883</v>
      </c>
      <c r="D42" s="118">
        <v>1</v>
      </c>
      <c r="U42" s="51">
        <v>2020</v>
      </c>
      <c r="V42" s="176" t="s">
        <v>868</v>
      </c>
      <c r="W42" s="179">
        <v>1</v>
      </c>
      <c r="Z42" s="172">
        <v>2019</v>
      </c>
      <c r="AA42" s="161" t="s">
        <v>555</v>
      </c>
      <c r="AB42" s="180">
        <v>3400</v>
      </c>
      <c r="AE42" s="51">
        <v>2018</v>
      </c>
      <c r="AF42" s="179" t="s">
        <v>867</v>
      </c>
      <c r="AG42" s="179">
        <v>644</v>
      </c>
    </row>
    <row r="43" spans="2:34" x14ac:dyDescent="0.25">
      <c r="B43" s="46">
        <v>2020</v>
      </c>
      <c r="C43" s="111" t="s">
        <v>883</v>
      </c>
      <c r="D43" s="118">
        <v>1</v>
      </c>
      <c r="U43" s="188">
        <v>2020</v>
      </c>
      <c r="V43" s="173" t="s">
        <v>868</v>
      </c>
      <c r="W43" s="180">
        <v>1</v>
      </c>
      <c r="Z43" s="98">
        <v>2019</v>
      </c>
      <c r="AA43" s="169" t="s">
        <v>555</v>
      </c>
      <c r="AB43" s="179">
        <v>1200</v>
      </c>
      <c r="AE43" s="51">
        <v>2018</v>
      </c>
      <c r="AF43" s="179" t="s">
        <v>867</v>
      </c>
      <c r="AG43" s="179">
        <v>995</v>
      </c>
    </row>
    <row r="44" spans="2:34" x14ac:dyDescent="0.25">
      <c r="B44" s="46">
        <v>2020</v>
      </c>
      <c r="C44" s="111" t="s">
        <v>883</v>
      </c>
      <c r="D44" s="118">
        <v>1</v>
      </c>
      <c r="U44" s="51">
        <v>2020</v>
      </c>
      <c r="V44" s="176" t="s">
        <v>868</v>
      </c>
      <c r="W44" s="179">
        <v>1</v>
      </c>
      <c r="Z44" s="172">
        <v>2019</v>
      </c>
      <c r="AA44" s="161" t="s">
        <v>555</v>
      </c>
      <c r="AB44" s="166">
        <v>56697</v>
      </c>
      <c r="AE44" s="188">
        <v>2018</v>
      </c>
      <c r="AF44" s="180" t="s">
        <v>867</v>
      </c>
      <c r="AG44" s="180">
        <v>795</v>
      </c>
    </row>
    <row r="45" spans="2:34" x14ac:dyDescent="0.25">
      <c r="B45" s="46">
        <v>2020</v>
      </c>
      <c r="C45" s="111" t="s">
        <v>883</v>
      </c>
      <c r="D45" s="118">
        <v>1</v>
      </c>
      <c r="U45" s="188">
        <v>2020</v>
      </c>
      <c r="V45" s="173" t="s">
        <v>868</v>
      </c>
      <c r="W45" s="180">
        <v>1</v>
      </c>
      <c r="Z45" s="160">
        <v>2019</v>
      </c>
      <c r="AA45" s="168" t="s">
        <v>701</v>
      </c>
      <c r="AB45" s="166">
        <v>2000</v>
      </c>
      <c r="AE45" s="51">
        <v>2018</v>
      </c>
      <c r="AF45" s="179" t="s">
        <v>867</v>
      </c>
      <c r="AG45" s="179">
        <v>728</v>
      </c>
    </row>
    <row r="46" spans="2:34" x14ac:dyDescent="0.25">
      <c r="B46" s="46">
        <v>2020</v>
      </c>
      <c r="C46" s="111" t="s">
        <v>883</v>
      </c>
      <c r="D46" s="118">
        <v>1</v>
      </c>
      <c r="U46" s="51">
        <v>2020</v>
      </c>
      <c r="V46" s="176" t="s">
        <v>868</v>
      </c>
      <c r="W46" s="179">
        <v>1</v>
      </c>
      <c r="Z46" s="172">
        <v>2019</v>
      </c>
      <c r="AA46" s="180" t="s">
        <v>701</v>
      </c>
      <c r="AB46" s="180">
        <v>2000</v>
      </c>
      <c r="AE46" s="188">
        <v>2018</v>
      </c>
      <c r="AF46" s="180" t="s">
        <v>867</v>
      </c>
      <c r="AG46" s="180">
        <v>926</v>
      </c>
    </row>
    <row r="47" spans="2:34" x14ac:dyDescent="0.25">
      <c r="B47" s="46">
        <v>2020</v>
      </c>
      <c r="C47" s="111" t="s">
        <v>883</v>
      </c>
      <c r="D47" s="118">
        <v>1</v>
      </c>
      <c r="U47" s="188">
        <v>2020</v>
      </c>
      <c r="V47" s="173" t="s">
        <v>868</v>
      </c>
      <c r="W47" s="180">
        <v>1</v>
      </c>
      <c r="Z47" s="160">
        <v>2019</v>
      </c>
      <c r="AA47" s="168" t="s">
        <v>701</v>
      </c>
      <c r="AB47" s="166">
        <v>800</v>
      </c>
      <c r="AC47">
        <v>66297</v>
      </c>
      <c r="AE47" s="188">
        <v>2018</v>
      </c>
      <c r="AF47" s="180" t="s">
        <v>867</v>
      </c>
      <c r="AG47" s="180">
        <v>935</v>
      </c>
      <c r="AH47">
        <v>15075</v>
      </c>
    </row>
    <row r="48" spans="2:34" x14ac:dyDescent="0.25">
      <c r="B48" s="46">
        <v>2020</v>
      </c>
      <c r="C48" s="111" t="s">
        <v>883</v>
      </c>
      <c r="D48" s="118">
        <v>1</v>
      </c>
      <c r="U48" s="172">
        <v>2020</v>
      </c>
      <c r="V48" s="173" t="s">
        <v>868</v>
      </c>
      <c r="W48" s="180">
        <v>1</v>
      </c>
      <c r="Z48" s="160">
        <v>2019</v>
      </c>
      <c r="AA48" s="173" t="s">
        <v>557</v>
      </c>
      <c r="AB48" s="162">
        <v>0.68799999999999994</v>
      </c>
      <c r="AE48" s="51">
        <v>2018</v>
      </c>
      <c r="AF48" s="179" t="s">
        <v>868</v>
      </c>
      <c r="AG48" s="179">
        <v>1</v>
      </c>
    </row>
    <row r="49" spans="2:33" x14ac:dyDescent="0.25">
      <c r="B49" s="46">
        <v>2020</v>
      </c>
      <c r="C49" s="111" t="s">
        <v>883</v>
      </c>
      <c r="D49" s="118">
        <v>1</v>
      </c>
      <c r="U49" s="98">
        <v>2020</v>
      </c>
      <c r="V49" s="176" t="s">
        <v>868</v>
      </c>
      <c r="W49" s="179">
        <v>1</v>
      </c>
      <c r="Z49" s="95">
        <v>2019</v>
      </c>
      <c r="AA49" s="169" t="s">
        <v>557</v>
      </c>
      <c r="AB49" s="164">
        <v>0.65</v>
      </c>
      <c r="AE49" s="51">
        <v>2018</v>
      </c>
      <c r="AF49" s="179" t="s">
        <v>868</v>
      </c>
      <c r="AG49" s="179">
        <v>1</v>
      </c>
    </row>
    <row r="50" spans="2:33" x14ac:dyDescent="0.25">
      <c r="B50" s="46">
        <v>2020</v>
      </c>
      <c r="C50" s="111" t="s">
        <v>883</v>
      </c>
      <c r="D50" s="118">
        <v>1</v>
      </c>
      <c r="U50" s="188">
        <v>2020</v>
      </c>
      <c r="V50" s="173" t="s">
        <v>868</v>
      </c>
      <c r="W50" s="180">
        <v>1</v>
      </c>
      <c r="Z50" s="167">
        <v>2019</v>
      </c>
      <c r="AA50" s="171" t="s">
        <v>557</v>
      </c>
      <c r="AB50" s="162">
        <v>0.32400000000000001</v>
      </c>
      <c r="AE50" s="188">
        <v>2018</v>
      </c>
      <c r="AF50" s="180" t="s">
        <v>868</v>
      </c>
      <c r="AG50" s="180">
        <v>1</v>
      </c>
    </row>
    <row r="51" spans="2:33" x14ac:dyDescent="0.25">
      <c r="B51" s="46">
        <v>2020</v>
      </c>
      <c r="C51" s="111" t="s">
        <v>883</v>
      </c>
      <c r="D51" s="118">
        <v>1</v>
      </c>
      <c r="U51" s="51">
        <v>2020</v>
      </c>
      <c r="V51" s="176" t="s">
        <v>868</v>
      </c>
      <c r="W51" s="179">
        <v>1</v>
      </c>
      <c r="Z51" s="97">
        <v>2019</v>
      </c>
      <c r="AA51" s="176" t="s">
        <v>557</v>
      </c>
      <c r="AB51" s="175">
        <v>0.19650000000000001</v>
      </c>
      <c r="AE51" s="188">
        <v>2018</v>
      </c>
      <c r="AF51" s="180" t="s">
        <v>868</v>
      </c>
      <c r="AG51" s="180">
        <v>4</v>
      </c>
    </row>
    <row r="52" spans="2:33" x14ac:dyDescent="0.25">
      <c r="B52" s="46">
        <v>2020</v>
      </c>
      <c r="C52" s="111" t="s">
        <v>883</v>
      </c>
      <c r="D52" s="118">
        <v>1</v>
      </c>
      <c r="U52" s="51">
        <v>2020</v>
      </c>
      <c r="V52" s="176" t="s">
        <v>868</v>
      </c>
      <c r="W52" s="179">
        <v>1</v>
      </c>
      <c r="Z52" s="160">
        <v>2019</v>
      </c>
      <c r="AA52" s="173" t="s">
        <v>557</v>
      </c>
      <c r="AB52" s="162">
        <v>0.3</v>
      </c>
      <c r="AC52">
        <f>Lentelė6[[#This Row],[suma]]+AB51+AB50+AB49+AB48</f>
        <v>2.1585000000000001</v>
      </c>
      <c r="AE52" s="51">
        <v>2018</v>
      </c>
      <c r="AF52" s="179" t="s">
        <v>868</v>
      </c>
      <c r="AG52" s="179">
        <v>4</v>
      </c>
    </row>
    <row r="53" spans="2:33" x14ac:dyDescent="0.25">
      <c r="B53" s="46">
        <v>2020</v>
      </c>
      <c r="C53" s="111" t="s">
        <v>883</v>
      </c>
      <c r="D53" s="118">
        <v>1</v>
      </c>
      <c r="U53" s="51">
        <v>2020</v>
      </c>
      <c r="V53" s="176" t="s">
        <v>868</v>
      </c>
      <c r="W53" s="179">
        <v>1</v>
      </c>
      <c r="Z53" s="102">
        <v>2019</v>
      </c>
      <c r="AA53" s="169" t="s">
        <v>654</v>
      </c>
      <c r="AB53" s="164">
        <v>500</v>
      </c>
      <c r="AE53" s="51">
        <v>2018</v>
      </c>
      <c r="AF53" s="176" t="s">
        <v>868</v>
      </c>
      <c r="AG53" s="179">
        <v>1</v>
      </c>
    </row>
    <row r="54" spans="2:33" x14ac:dyDescent="0.25">
      <c r="B54" s="46">
        <v>2020</v>
      </c>
      <c r="C54" s="111" t="s">
        <v>883</v>
      </c>
      <c r="D54" s="118">
        <v>1</v>
      </c>
      <c r="U54" s="188">
        <v>2020</v>
      </c>
      <c r="V54" s="173" t="s">
        <v>868</v>
      </c>
      <c r="W54" s="180">
        <v>1</v>
      </c>
      <c r="Z54" s="185">
        <v>2019</v>
      </c>
      <c r="AA54" s="173" t="s">
        <v>654</v>
      </c>
      <c r="AB54" s="162">
        <v>1</v>
      </c>
      <c r="AE54" s="188">
        <v>2018</v>
      </c>
      <c r="AF54" s="173" t="s">
        <v>868</v>
      </c>
      <c r="AG54" s="180">
        <v>1</v>
      </c>
    </row>
    <row r="55" spans="2:33" x14ac:dyDescent="0.25">
      <c r="B55" s="46">
        <v>2020</v>
      </c>
      <c r="C55" s="111" t="s">
        <v>883</v>
      </c>
      <c r="D55" s="118">
        <v>1</v>
      </c>
      <c r="U55" s="51">
        <v>2020</v>
      </c>
      <c r="V55" s="176" t="s">
        <v>868</v>
      </c>
      <c r="W55" s="179">
        <v>1</v>
      </c>
      <c r="Z55" s="172">
        <v>2019</v>
      </c>
      <c r="AA55" s="173" t="s">
        <v>654</v>
      </c>
      <c r="AB55" s="162">
        <v>762</v>
      </c>
      <c r="AE55" s="51">
        <v>2018</v>
      </c>
      <c r="AF55" s="176" t="s">
        <v>868</v>
      </c>
      <c r="AG55" s="179">
        <v>1</v>
      </c>
    </row>
    <row r="56" spans="2:33" x14ac:dyDescent="0.25">
      <c r="B56" s="46">
        <v>2020</v>
      </c>
      <c r="C56" s="111" t="s">
        <v>883</v>
      </c>
      <c r="D56" s="118">
        <v>1</v>
      </c>
      <c r="U56" s="188">
        <v>2020</v>
      </c>
      <c r="V56" s="173" t="s">
        <v>868</v>
      </c>
      <c r="W56" s="180">
        <v>1</v>
      </c>
      <c r="X56">
        <v>17</v>
      </c>
      <c r="Z56" s="103">
        <v>2019</v>
      </c>
      <c r="AA56" s="140" t="s">
        <v>654</v>
      </c>
      <c r="AB56" s="140">
        <v>200</v>
      </c>
      <c r="AE56" s="188">
        <v>2018</v>
      </c>
      <c r="AF56" s="173" t="s">
        <v>868</v>
      </c>
      <c r="AG56" s="180">
        <v>1</v>
      </c>
    </row>
    <row r="57" spans="2:33" x14ac:dyDescent="0.25">
      <c r="B57" s="46">
        <v>2018</v>
      </c>
      <c r="C57" s="111" t="s">
        <v>867</v>
      </c>
      <c r="D57" s="115">
        <v>240</v>
      </c>
      <c r="U57" s="172">
        <v>2020</v>
      </c>
      <c r="V57" s="161" t="s">
        <v>555</v>
      </c>
      <c r="W57" s="162">
        <v>350</v>
      </c>
      <c r="Z57" s="104">
        <v>2019</v>
      </c>
      <c r="AA57" s="140" t="s">
        <v>654</v>
      </c>
      <c r="AB57" s="140">
        <v>200</v>
      </c>
      <c r="AE57" s="51">
        <v>2018</v>
      </c>
      <c r="AF57" s="176" t="s">
        <v>868</v>
      </c>
      <c r="AG57" s="179">
        <v>1</v>
      </c>
    </row>
    <row r="58" spans="2:33" x14ac:dyDescent="0.25">
      <c r="B58" s="46">
        <v>2018</v>
      </c>
      <c r="C58" s="111" t="s">
        <v>867</v>
      </c>
      <c r="D58" s="115">
        <v>488</v>
      </c>
      <c r="U58" s="98">
        <v>2020</v>
      </c>
      <c r="V58" s="174" t="s">
        <v>557</v>
      </c>
      <c r="W58" s="164">
        <v>3.69</v>
      </c>
      <c r="Z58" s="105">
        <v>2019</v>
      </c>
      <c r="AA58" s="140" t="s">
        <v>654</v>
      </c>
      <c r="AB58" s="140">
        <v>225</v>
      </c>
      <c r="AE58" s="188">
        <v>2018</v>
      </c>
      <c r="AF58" s="173" t="s">
        <v>868</v>
      </c>
      <c r="AG58" s="180">
        <v>1</v>
      </c>
    </row>
    <row r="59" spans="2:33" x14ac:dyDescent="0.25">
      <c r="B59" s="46">
        <v>2018</v>
      </c>
      <c r="C59" s="111" t="s">
        <v>867</v>
      </c>
      <c r="D59" s="115">
        <v>653</v>
      </c>
      <c r="U59" s="172">
        <v>2020</v>
      </c>
      <c r="V59" s="173" t="s">
        <v>557</v>
      </c>
      <c r="W59" s="162">
        <v>3.69</v>
      </c>
      <c r="Z59" s="102">
        <v>2019</v>
      </c>
      <c r="AA59" s="176" t="s">
        <v>654</v>
      </c>
      <c r="AB59" s="179">
        <v>144</v>
      </c>
      <c r="AE59" s="51">
        <v>2018</v>
      </c>
      <c r="AF59" s="176" t="s">
        <v>868</v>
      </c>
      <c r="AG59" s="179">
        <v>1</v>
      </c>
    </row>
    <row r="60" spans="2:33" x14ac:dyDescent="0.25">
      <c r="B60" s="46">
        <v>2018</v>
      </c>
      <c r="C60" s="111" t="s">
        <v>867</v>
      </c>
      <c r="D60" s="118">
        <v>48</v>
      </c>
      <c r="U60" s="98">
        <v>2020</v>
      </c>
      <c r="V60" s="176" t="s">
        <v>557</v>
      </c>
      <c r="W60" s="164">
        <v>9.6349999999999998</v>
      </c>
      <c r="Z60" s="101">
        <v>2019</v>
      </c>
      <c r="AA60" s="176" t="s">
        <v>654</v>
      </c>
      <c r="AB60" s="179">
        <v>550</v>
      </c>
      <c r="AE60" s="188">
        <v>2018</v>
      </c>
      <c r="AF60" s="173" t="s">
        <v>868</v>
      </c>
      <c r="AG60" s="180">
        <v>4</v>
      </c>
    </row>
    <row r="61" spans="2:33" x14ac:dyDescent="0.25">
      <c r="B61" s="46">
        <v>2018</v>
      </c>
      <c r="C61" s="114" t="s">
        <v>867</v>
      </c>
      <c r="D61" s="118">
        <v>747</v>
      </c>
      <c r="U61" s="172">
        <v>2020</v>
      </c>
      <c r="V61" s="173" t="s">
        <v>557</v>
      </c>
      <c r="W61" s="166">
        <v>0.49</v>
      </c>
      <c r="Z61" s="185">
        <v>2019</v>
      </c>
      <c r="AA61" s="173" t="s">
        <v>654</v>
      </c>
      <c r="AB61" s="180">
        <v>206</v>
      </c>
      <c r="AC61">
        <f>Lentelė6[[#This Row],[suma]]+AB60+AB59+AB58+AB57+AB56+AB55+AB54+AB53</f>
        <v>2788</v>
      </c>
      <c r="AE61" s="51">
        <v>2018</v>
      </c>
      <c r="AF61" s="176" t="s">
        <v>868</v>
      </c>
      <c r="AG61" s="179">
        <v>1</v>
      </c>
    </row>
    <row r="62" spans="2:33" x14ac:dyDescent="0.25">
      <c r="B62" s="46">
        <v>2018</v>
      </c>
      <c r="C62" s="115" t="s">
        <v>867</v>
      </c>
      <c r="D62" s="115">
        <v>177</v>
      </c>
      <c r="U62" s="160">
        <v>2020</v>
      </c>
      <c r="V62" s="173" t="s">
        <v>557</v>
      </c>
      <c r="W62" s="196">
        <v>1.159</v>
      </c>
      <c r="Z62" s="172">
        <v>2019</v>
      </c>
      <c r="AA62" s="161" t="s">
        <v>559</v>
      </c>
      <c r="AB62" s="166">
        <v>7200</v>
      </c>
      <c r="AE62" s="188">
        <v>2018</v>
      </c>
      <c r="AF62" s="173" t="s">
        <v>868</v>
      </c>
      <c r="AG62" s="180">
        <v>1</v>
      </c>
    </row>
    <row r="63" spans="2:33" x14ac:dyDescent="0.25">
      <c r="B63" s="46">
        <v>2018</v>
      </c>
      <c r="C63" s="115" t="s">
        <v>867</v>
      </c>
      <c r="D63" s="115">
        <v>543</v>
      </c>
      <c r="U63" s="160">
        <v>2020</v>
      </c>
      <c r="V63" s="173" t="s">
        <v>557</v>
      </c>
      <c r="W63" s="162">
        <v>0.15</v>
      </c>
      <c r="X63">
        <v>18.814</v>
      </c>
      <c r="Z63" s="98">
        <v>2019</v>
      </c>
      <c r="AA63" s="169" t="s">
        <v>559</v>
      </c>
      <c r="AB63" s="164">
        <v>5410</v>
      </c>
      <c r="AE63" s="51">
        <v>2018</v>
      </c>
      <c r="AF63" s="176" t="s">
        <v>868</v>
      </c>
      <c r="AG63" s="179">
        <v>4</v>
      </c>
    </row>
    <row r="64" spans="2:33" x14ac:dyDescent="0.25">
      <c r="B64" s="46">
        <v>2018</v>
      </c>
      <c r="C64" s="115" t="s">
        <v>867</v>
      </c>
      <c r="D64" s="115">
        <v>263</v>
      </c>
      <c r="U64" s="172">
        <v>2020</v>
      </c>
      <c r="V64" s="173" t="s">
        <v>654</v>
      </c>
      <c r="W64" s="162">
        <v>473</v>
      </c>
      <c r="Z64" s="172">
        <v>2019</v>
      </c>
      <c r="AA64" s="161" t="s">
        <v>559</v>
      </c>
      <c r="AB64" s="166">
        <v>13510</v>
      </c>
      <c r="AE64" s="188">
        <v>2018</v>
      </c>
      <c r="AF64" s="173" t="s">
        <v>868</v>
      </c>
      <c r="AG64" s="180">
        <v>1</v>
      </c>
    </row>
    <row r="65" spans="2:34" x14ac:dyDescent="0.25">
      <c r="B65" s="46">
        <v>2018</v>
      </c>
      <c r="C65" s="115" t="s">
        <v>867</v>
      </c>
      <c r="D65" s="115">
        <v>402</v>
      </c>
      <c r="U65" s="185">
        <v>2020</v>
      </c>
      <c r="V65" s="161" t="s">
        <v>654</v>
      </c>
      <c r="W65" s="166">
        <v>290</v>
      </c>
      <c r="Z65" s="172">
        <v>2019</v>
      </c>
      <c r="AA65" s="180" t="s">
        <v>559</v>
      </c>
      <c r="AB65" s="180">
        <v>34904</v>
      </c>
      <c r="AE65" s="51">
        <v>2018</v>
      </c>
      <c r="AF65" s="176" t="s">
        <v>868</v>
      </c>
      <c r="AG65" s="179">
        <v>1</v>
      </c>
    </row>
    <row r="66" spans="2:34" x14ac:dyDescent="0.25">
      <c r="B66" s="46">
        <v>2018</v>
      </c>
      <c r="C66" s="115" t="s">
        <v>867</v>
      </c>
      <c r="D66" s="115">
        <v>335</v>
      </c>
      <c r="U66" s="185">
        <v>2020</v>
      </c>
      <c r="V66" s="173" t="s">
        <v>654</v>
      </c>
      <c r="W66" s="162">
        <v>180</v>
      </c>
      <c r="Z66" s="98">
        <v>2019</v>
      </c>
      <c r="AA66" s="179" t="s">
        <v>559</v>
      </c>
      <c r="AB66" s="179">
        <v>30041</v>
      </c>
      <c r="AC66">
        <f>Lentelė6[[#This Row],[suma]]+AB65+AB64+AB63+AB62</f>
        <v>91065</v>
      </c>
      <c r="AE66" s="188">
        <v>2018</v>
      </c>
      <c r="AF66" s="173" t="s">
        <v>868</v>
      </c>
      <c r="AG66" s="180">
        <v>1</v>
      </c>
    </row>
    <row r="67" spans="2:34" x14ac:dyDescent="0.25">
      <c r="B67" s="46">
        <v>2018</v>
      </c>
      <c r="C67" s="115" t="s">
        <v>867</v>
      </c>
      <c r="D67" s="115">
        <v>410</v>
      </c>
      <c r="U67" s="102">
        <v>2020</v>
      </c>
      <c r="V67" s="176" t="s">
        <v>654</v>
      </c>
      <c r="W67" s="170">
        <v>300</v>
      </c>
      <c r="Z67" s="95">
        <v>2019</v>
      </c>
      <c r="AA67" s="169" t="s">
        <v>561</v>
      </c>
      <c r="AB67" s="170">
        <v>141600</v>
      </c>
      <c r="AE67" s="51">
        <v>2018</v>
      </c>
      <c r="AF67" s="176" t="s">
        <v>868</v>
      </c>
      <c r="AG67" s="179">
        <v>1</v>
      </c>
    </row>
    <row r="68" spans="2:34" x14ac:dyDescent="0.25">
      <c r="B68" s="46">
        <v>2018</v>
      </c>
      <c r="C68" s="115" t="s">
        <v>867</v>
      </c>
      <c r="D68" s="115">
        <v>392</v>
      </c>
      <c r="U68" s="185">
        <v>2020</v>
      </c>
      <c r="V68" s="173" t="s">
        <v>654</v>
      </c>
      <c r="W68" s="162">
        <v>531</v>
      </c>
      <c r="Z68" s="167">
        <v>2019</v>
      </c>
      <c r="AA68" s="171" t="s">
        <v>561</v>
      </c>
      <c r="AB68" s="177">
        <v>10015</v>
      </c>
      <c r="AE68" s="188">
        <v>2018</v>
      </c>
      <c r="AF68" s="173" t="s">
        <v>868</v>
      </c>
      <c r="AG68" s="180">
        <v>1</v>
      </c>
    </row>
    <row r="69" spans="2:34" x14ac:dyDescent="0.25">
      <c r="B69" s="46">
        <v>2018</v>
      </c>
      <c r="C69" s="115" t="s">
        <v>867</v>
      </c>
      <c r="D69" s="115">
        <v>747</v>
      </c>
      <c r="U69" s="105">
        <v>2020</v>
      </c>
      <c r="V69" s="140" t="s">
        <v>654</v>
      </c>
      <c r="W69" s="140">
        <v>20</v>
      </c>
      <c r="Z69" s="98">
        <v>2019</v>
      </c>
      <c r="AA69" s="176" t="s">
        <v>561</v>
      </c>
      <c r="AB69" s="170">
        <v>211000</v>
      </c>
      <c r="AE69" s="51">
        <v>2018</v>
      </c>
      <c r="AF69" s="176" t="s">
        <v>868</v>
      </c>
      <c r="AG69" s="179">
        <v>1</v>
      </c>
    </row>
    <row r="70" spans="2:34" x14ac:dyDescent="0.25">
      <c r="B70" s="46">
        <v>2018</v>
      </c>
      <c r="C70" s="115" t="s">
        <v>867</v>
      </c>
      <c r="D70" s="115">
        <v>637</v>
      </c>
      <c r="U70" s="101">
        <v>2020</v>
      </c>
      <c r="V70" s="140" t="s">
        <v>654</v>
      </c>
      <c r="W70" s="176">
        <v>180</v>
      </c>
      <c r="Z70" s="172">
        <v>2019</v>
      </c>
      <c r="AA70" s="173" t="s">
        <v>561</v>
      </c>
      <c r="AB70" s="162">
        <v>200000</v>
      </c>
      <c r="AE70" s="188">
        <v>2018</v>
      </c>
      <c r="AF70" s="173" t="s">
        <v>868</v>
      </c>
      <c r="AG70" s="180">
        <v>1</v>
      </c>
    </row>
    <row r="71" spans="2:34" x14ac:dyDescent="0.25">
      <c r="B71" s="46">
        <v>2018</v>
      </c>
      <c r="C71" s="115" t="s">
        <v>867</v>
      </c>
      <c r="D71" s="115">
        <v>857</v>
      </c>
      <c r="U71" s="101">
        <v>2020</v>
      </c>
      <c r="V71" s="140" t="s">
        <v>654</v>
      </c>
      <c r="W71" s="166">
        <v>185</v>
      </c>
      <c r="Z71" s="98">
        <v>2019</v>
      </c>
      <c r="AA71" s="176" t="s">
        <v>561</v>
      </c>
      <c r="AB71" s="170">
        <v>75829</v>
      </c>
      <c r="AE71" s="51">
        <v>2018</v>
      </c>
      <c r="AF71" s="176" t="s">
        <v>868</v>
      </c>
      <c r="AG71" s="179">
        <v>1</v>
      </c>
    </row>
    <row r="72" spans="2:34" x14ac:dyDescent="0.25">
      <c r="B72" s="46">
        <v>2018</v>
      </c>
      <c r="C72" s="115" t="s">
        <v>867</v>
      </c>
      <c r="D72" s="115">
        <v>747</v>
      </c>
      <c r="U72" s="101">
        <v>2020</v>
      </c>
      <c r="V72" s="179" t="s">
        <v>654</v>
      </c>
      <c r="W72" s="182">
        <v>756</v>
      </c>
      <c r="Z72" s="98">
        <v>2019</v>
      </c>
      <c r="AA72" s="176" t="s">
        <v>561</v>
      </c>
      <c r="AB72" s="170">
        <v>10000</v>
      </c>
      <c r="AE72" s="188">
        <v>2018</v>
      </c>
      <c r="AF72" s="173" t="s">
        <v>868</v>
      </c>
      <c r="AG72" s="180">
        <v>1</v>
      </c>
      <c r="AH72">
        <v>37</v>
      </c>
    </row>
    <row r="73" spans="2:34" x14ac:dyDescent="0.25">
      <c r="B73" s="46">
        <v>2018</v>
      </c>
      <c r="C73" s="115" t="s">
        <v>867</v>
      </c>
      <c r="D73" s="115">
        <v>882</v>
      </c>
      <c r="U73" s="104">
        <v>2020</v>
      </c>
      <c r="V73" s="180" t="s">
        <v>654</v>
      </c>
      <c r="W73" s="180">
        <v>480</v>
      </c>
      <c r="Z73" s="172">
        <v>2019</v>
      </c>
      <c r="AA73" s="173" t="s">
        <v>561</v>
      </c>
      <c r="AB73" s="162">
        <v>10000</v>
      </c>
      <c r="AC73" s="231">
        <f>Lentelė6[[#This Row],[suma]]+AB72+AB71+AB70+AB69+AB68+AB67</f>
        <v>658444</v>
      </c>
      <c r="AE73" s="95">
        <v>2018</v>
      </c>
      <c r="AF73" s="174" t="s">
        <v>557</v>
      </c>
      <c r="AG73" s="170">
        <v>0.60599999999999998</v>
      </c>
    </row>
    <row r="74" spans="2:34" x14ac:dyDescent="0.25">
      <c r="B74" s="46">
        <v>2018</v>
      </c>
      <c r="C74" s="115" t="s">
        <v>867</v>
      </c>
      <c r="D74" s="115">
        <v>859</v>
      </c>
      <c r="U74" s="185">
        <v>2020</v>
      </c>
      <c r="V74" s="173" t="s">
        <v>654</v>
      </c>
      <c r="W74" s="180">
        <v>650</v>
      </c>
      <c r="Z74" s="172">
        <v>2019</v>
      </c>
      <c r="AA74" s="173" t="s">
        <v>563</v>
      </c>
      <c r="AB74" s="162">
        <v>5726</v>
      </c>
      <c r="AE74" s="160">
        <v>2018</v>
      </c>
      <c r="AF74" s="195" t="s">
        <v>557</v>
      </c>
      <c r="AG74" s="196">
        <v>0.40400000000000003</v>
      </c>
      <c r="AH74">
        <v>1.01</v>
      </c>
    </row>
    <row r="75" spans="2:34" x14ac:dyDescent="0.25">
      <c r="B75" s="46">
        <v>2018</v>
      </c>
      <c r="C75" s="115" t="s">
        <v>867</v>
      </c>
      <c r="D75" s="115">
        <v>823</v>
      </c>
      <c r="U75" s="102">
        <v>2020</v>
      </c>
      <c r="V75" s="176" t="s">
        <v>654</v>
      </c>
      <c r="W75" s="179">
        <v>1700</v>
      </c>
      <c r="Z75" s="98">
        <v>2019</v>
      </c>
      <c r="AA75" s="176" t="s">
        <v>563</v>
      </c>
      <c r="AB75" s="164">
        <v>5700</v>
      </c>
      <c r="AE75" s="188">
        <v>2018</v>
      </c>
      <c r="AF75" s="171" t="s">
        <v>676</v>
      </c>
      <c r="AG75" s="162">
        <v>0.4</v>
      </c>
    </row>
    <row r="76" spans="2:34" x14ac:dyDescent="0.25">
      <c r="B76" s="46">
        <v>2018</v>
      </c>
      <c r="C76" s="115" t="s">
        <v>867</v>
      </c>
      <c r="D76" s="115">
        <v>644</v>
      </c>
      <c r="U76" s="51">
        <v>2020</v>
      </c>
      <c r="V76" s="169" t="s">
        <v>654</v>
      </c>
      <c r="W76" s="164">
        <v>1090</v>
      </c>
      <c r="Z76" s="98">
        <v>2019</v>
      </c>
      <c r="AA76" s="176" t="s">
        <v>563</v>
      </c>
      <c r="AB76" s="170">
        <v>2000</v>
      </c>
      <c r="AE76" s="51">
        <v>2018</v>
      </c>
      <c r="AF76" s="174" t="s">
        <v>676</v>
      </c>
      <c r="AG76" s="170">
        <v>0.08</v>
      </c>
    </row>
    <row r="77" spans="2:34" x14ac:dyDescent="0.25">
      <c r="B77" s="46">
        <v>2018</v>
      </c>
      <c r="C77" s="115" t="s">
        <v>867</v>
      </c>
      <c r="D77" s="115">
        <v>935</v>
      </c>
      <c r="U77" s="188">
        <v>2020</v>
      </c>
      <c r="V77" s="140" t="s">
        <v>654</v>
      </c>
      <c r="W77" s="166">
        <v>192</v>
      </c>
      <c r="Z77" s="95">
        <v>2019</v>
      </c>
      <c r="AA77" s="182" t="s">
        <v>563</v>
      </c>
      <c r="AB77" s="179">
        <v>794.02</v>
      </c>
      <c r="AC77">
        <f>Lentelė6[[#This Row],[suma]]+AB76+AB75+AB74</f>
        <v>14220.02</v>
      </c>
      <c r="AE77" s="188">
        <v>2018</v>
      </c>
      <c r="AF77" s="171" t="s">
        <v>676</v>
      </c>
      <c r="AG77" s="162">
        <v>8.2600000000000007E-2</v>
      </c>
      <c r="AH77">
        <v>0.56259999999999999</v>
      </c>
    </row>
    <row r="78" spans="2:34" x14ac:dyDescent="0.25">
      <c r="B78" s="46">
        <v>2018</v>
      </c>
      <c r="C78" s="115" t="s">
        <v>867</v>
      </c>
      <c r="D78" s="115">
        <v>995</v>
      </c>
      <c r="U78" s="104">
        <v>2020</v>
      </c>
      <c r="V78" s="140" t="s">
        <v>654</v>
      </c>
      <c r="W78" s="166">
        <v>50</v>
      </c>
      <c r="Z78" s="172">
        <v>2019</v>
      </c>
      <c r="AA78" s="180" t="s">
        <v>670</v>
      </c>
      <c r="AB78" s="180">
        <v>100</v>
      </c>
      <c r="AE78" s="98">
        <v>2018</v>
      </c>
      <c r="AF78" s="176" t="s">
        <v>654</v>
      </c>
      <c r="AG78" s="179">
        <v>732</v>
      </c>
    </row>
    <row r="79" spans="2:34" x14ac:dyDescent="0.25">
      <c r="B79" s="46">
        <v>2018</v>
      </c>
      <c r="C79" s="115" t="s">
        <v>867</v>
      </c>
      <c r="D79" s="115">
        <v>795</v>
      </c>
      <c r="U79" s="104">
        <v>2020</v>
      </c>
      <c r="V79" s="140" t="s">
        <v>654</v>
      </c>
      <c r="W79" s="164">
        <v>104</v>
      </c>
      <c r="Z79" s="51">
        <v>2019</v>
      </c>
      <c r="AA79" s="169" t="s">
        <v>567</v>
      </c>
      <c r="AB79" s="170">
        <v>338</v>
      </c>
      <c r="AE79" s="172">
        <v>2018</v>
      </c>
      <c r="AF79" s="173" t="s">
        <v>654</v>
      </c>
      <c r="AG79" s="180">
        <v>891</v>
      </c>
      <c r="AH79">
        <v>1623</v>
      </c>
    </row>
    <row r="80" spans="2:34" x14ac:dyDescent="0.25">
      <c r="B80" s="46">
        <v>2018</v>
      </c>
      <c r="C80" s="115" t="s">
        <v>867</v>
      </c>
      <c r="D80" s="115">
        <v>728</v>
      </c>
      <c r="U80" s="185">
        <v>2020</v>
      </c>
      <c r="V80" s="173" t="s">
        <v>654</v>
      </c>
      <c r="W80" s="162">
        <v>800</v>
      </c>
      <c r="Z80" s="188">
        <v>2019</v>
      </c>
      <c r="AA80" s="171" t="s">
        <v>567</v>
      </c>
      <c r="AB80" s="162">
        <v>877</v>
      </c>
      <c r="AE80" s="167">
        <v>2018</v>
      </c>
      <c r="AF80" s="161" t="s">
        <v>561</v>
      </c>
      <c r="AG80" s="166">
        <v>45254.62</v>
      </c>
    </row>
    <row r="81" spans="2:34" x14ac:dyDescent="0.25">
      <c r="B81" s="46">
        <v>2018</v>
      </c>
      <c r="C81" s="115" t="s">
        <v>867</v>
      </c>
      <c r="D81" s="115">
        <v>926</v>
      </c>
      <c r="U81" s="172">
        <v>2020</v>
      </c>
      <c r="V81" s="173" t="s">
        <v>654</v>
      </c>
      <c r="W81" s="180">
        <v>245</v>
      </c>
      <c r="X81">
        <v>8226</v>
      </c>
      <c r="Z81" s="172">
        <v>2019</v>
      </c>
      <c r="AA81" s="173" t="s">
        <v>567</v>
      </c>
      <c r="AB81" s="162">
        <v>55</v>
      </c>
      <c r="AE81" s="94">
        <v>2018</v>
      </c>
      <c r="AF81" s="174" t="s">
        <v>561</v>
      </c>
      <c r="AG81" s="170">
        <v>58156</v>
      </c>
    </row>
    <row r="82" spans="2:34" x14ac:dyDescent="0.25">
      <c r="B82" s="91">
        <v>2019</v>
      </c>
      <c r="C82" s="115" t="s">
        <v>867</v>
      </c>
      <c r="D82" s="115">
        <v>812</v>
      </c>
      <c r="U82" s="185">
        <v>2020</v>
      </c>
      <c r="V82" s="171" t="s">
        <v>561</v>
      </c>
      <c r="W82" s="166">
        <v>30000</v>
      </c>
      <c r="Z82" s="172">
        <v>2019</v>
      </c>
      <c r="AA82" s="171" t="s">
        <v>567</v>
      </c>
      <c r="AB82" s="181">
        <v>332</v>
      </c>
      <c r="AE82" s="167">
        <v>2018</v>
      </c>
      <c r="AF82" s="171" t="s">
        <v>561</v>
      </c>
      <c r="AG82" s="162">
        <v>40001</v>
      </c>
    </row>
    <row r="83" spans="2:34" x14ac:dyDescent="0.25">
      <c r="B83" s="46">
        <v>2019</v>
      </c>
      <c r="C83" s="115" t="s">
        <v>867</v>
      </c>
      <c r="D83" s="115">
        <v>177</v>
      </c>
      <c r="U83" s="172">
        <v>2020</v>
      </c>
      <c r="V83" s="173" t="s">
        <v>561</v>
      </c>
      <c r="W83" s="162">
        <v>8821.7199999999993</v>
      </c>
      <c r="Z83" s="98">
        <v>2019</v>
      </c>
      <c r="AA83" s="194" t="s">
        <v>567</v>
      </c>
      <c r="AB83" s="217">
        <v>1231</v>
      </c>
      <c r="AC83">
        <f>Lentelė6[[#This Row],[suma]]+AB82+AB81+AB80+AB79</f>
        <v>2833</v>
      </c>
      <c r="AE83" s="98">
        <v>2018</v>
      </c>
      <c r="AF83" s="176" t="s">
        <v>561</v>
      </c>
      <c r="AG83" s="170">
        <v>12000</v>
      </c>
    </row>
    <row r="84" spans="2:34" x14ac:dyDescent="0.25">
      <c r="B84" s="46">
        <v>2019</v>
      </c>
      <c r="C84" s="115" t="s">
        <v>867</v>
      </c>
      <c r="D84" s="115">
        <v>877</v>
      </c>
      <c r="U84" s="98">
        <v>2020</v>
      </c>
      <c r="V84" s="176" t="s">
        <v>561</v>
      </c>
      <c r="W84" s="170">
        <v>15200</v>
      </c>
      <c r="Z84" s="97">
        <v>2019</v>
      </c>
      <c r="AA84" s="176" t="s">
        <v>569</v>
      </c>
      <c r="AB84" s="170">
        <v>167</v>
      </c>
      <c r="AE84" s="98">
        <v>2018</v>
      </c>
      <c r="AF84" s="176" t="s">
        <v>561</v>
      </c>
      <c r="AG84" s="170">
        <v>2025</v>
      </c>
    </row>
    <row r="85" spans="2:34" x14ac:dyDescent="0.25">
      <c r="B85" s="46">
        <v>2019</v>
      </c>
      <c r="C85" s="115" t="s">
        <v>867</v>
      </c>
      <c r="D85" s="115">
        <v>406</v>
      </c>
      <c r="U85" s="165">
        <v>2020</v>
      </c>
      <c r="V85" s="161" t="s">
        <v>561</v>
      </c>
      <c r="W85" s="177">
        <v>68477</v>
      </c>
      <c r="Z85" s="160">
        <v>2019</v>
      </c>
      <c r="AA85" s="173" t="s">
        <v>569</v>
      </c>
      <c r="AB85" s="162">
        <v>105</v>
      </c>
      <c r="AE85" s="165">
        <v>2018</v>
      </c>
      <c r="AF85" s="171" t="s">
        <v>561</v>
      </c>
      <c r="AG85" s="162">
        <v>10246.01</v>
      </c>
    </row>
    <row r="86" spans="2:34" x14ac:dyDescent="0.25">
      <c r="B86" s="46">
        <v>2019</v>
      </c>
      <c r="C86" s="115" t="s">
        <v>867</v>
      </c>
      <c r="D86" s="115">
        <v>635</v>
      </c>
      <c r="U86" s="102">
        <v>2020</v>
      </c>
      <c r="V86" s="174" t="s">
        <v>561</v>
      </c>
      <c r="W86" s="164">
        <v>350000</v>
      </c>
      <c r="Z86" s="97">
        <v>2019</v>
      </c>
      <c r="AA86" s="176" t="s">
        <v>569</v>
      </c>
      <c r="AB86" s="170">
        <v>1323</v>
      </c>
      <c r="AE86" s="165">
        <v>2018</v>
      </c>
      <c r="AF86" s="161" t="s">
        <v>561</v>
      </c>
      <c r="AG86" s="162">
        <v>29432</v>
      </c>
      <c r="AH86">
        <f>Lentelė7[[#This Row],[suma]]+AG85+AG84+AG83+AG82+AG81+AG80</f>
        <v>197114.63</v>
      </c>
    </row>
    <row r="87" spans="2:34" x14ac:dyDescent="0.25">
      <c r="B87" s="46">
        <v>2019</v>
      </c>
      <c r="C87" s="115" t="s">
        <v>867</v>
      </c>
      <c r="D87" s="115">
        <v>841</v>
      </c>
      <c r="U87" s="98">
        <v>2020</v>
      </c>
      <c r="V87" s="176" t="s">
        <v>561</v>
      </c>
      <c r="W87" s="170">
        <v>509851.88</v>
      </c>
      <c r="Z87" s="160">
        <v>2019</v>
      </c>
      <c r="AA87" s="173" t="s">
        <v>569</v>
      </c>
      <c r="AB87" s="162">
        <v>890</v>
      </c>
      <c r="AE87" s="172">
        <v>2018</v>
      </c>
      <c r="AF87" s="161" t="s">
        <v>577</v>
      </c>
      <c r="AG87" s="162">
        <v>1</v>
      </c>
    </row>
    <row r="88" spans="2:34" x14ac:dyDescent="0.25">
      <c r="B88" s="46">
        <v>2019</v>
      </c>
      <c r="C88" s="115" t="s">
        <v>867</v>
      </c>
      <c r="D88" s="115">
        <v>752</v>
      </c>
      <c r="U88" s="172">
        <v>2020</v>
      </c>
      <c r="V88" s="173" t="s">
        <v>561</v>
      </c>
      <c r="W88" s="162">
        <v>35000</v>
      </c>
      <c r="Z88" s="188">
        <v>2019</v>
      </c>
      <c r="AA88" s="183" t="s">
        <v>569</v>
      </c>
      <c r="AB88" s="180">
        <v>2285</v>
      </c>
      <c r="AC88">
        <f>Lentelė6[[#This Row],[suma]]+AB87+AB86+AB85+AB84</f>
        <v>4770</v>
      </c>
      <c r="AE88" s="51">
        <v>2018</v>
      </c>
      <c r="AF88" s="174" t="s">
        <v>579</v>
      </c>
      <c r="AG88" s="170">
        <v>27</v>
      </c>
    </row>
    <row r="89" spans="2:34" x14ac:dyDescent="0.25">
      <c r="B89" s="46">
        <v>2019</v>
      </c>
      <c r="C89" s="115" t="s">
        <v>867</v>
      </c>
      <c r="D89" s="115">
        <v>279</v>
      </c>
      <c r="U89" s="165">
        <v>2020</v>
      </c>
      <c r="V89" s="181" t="s">
        <v>561</v>
      </c>
      <c r="W89" s="180">
        <v>3534</v>
      </c>
      <c r="X89" s="231">
        <f>Lentelė5[[#This Row],[suma]]+W88+W87+W86+W85+W84+W83+W82</f>
        <v>1020884.6</v>
      </c>
      <c r="Z89" s="51">
        <v>2019</v>
      </c>
      <c r="AA89" s="194" t="s">
        <v>571</v>
      </c>
      <c r="AB89" s="179">
        <v>778</v>
      </c>
      <c r="AE89" s="188">
        <v>2018</v>
      </c>
      <c r="AF89" s="180" t="s">
        <v>579</v>
      </c>
      <c r="AG89" s="183">
        <v>38</v>
      </c>
      <c r="AH89">
        <v>65</v>
      </c>
    </row>
    <row r="90" spans="2:34" x14ac:dyDescent="0.25">
      <c r="B90" s="46">
        <v>2019</v>
      </c>
      <c r="C90" s="115" t="s">
        <v>867</v>
      </c>
      <c r="D90" s="115">
        <v>239</v>
      </c>
      <c r="U90" s="165">
        <v>2020</v>
      </c>
      <c r="V90" s="183" t="s">
        <v>563</v>
      </c>
      <c r="W90" s="180">
        <v>75</v>
      </c>
      <c r="Z90" s="188">
        <v>2019</v>
      </c>
      <c r="AA90" s="180" t="s">
        <v>571</v>
      </c>
      <c r="AB90" s="162">
        <v>1265</v>
      </c>
      <c r="AE90" s="51">
        <v>2018</v>
      </c>
      <c r="AF90" s="179" t="s">
        <v>678</v>
      </c>
      <c r="AG90" s="179">
        <v>1</v>
      </c>
    </row>
    <row r="91" spans="2:34" x14ac:dyDescent="0.25">
      <c r="B91" s="46">
        <v>2019</v>
      </c>
      <c r="C91" s="115" t="s">
        <v>867</v>
      </c>
      <c r="D91" s="115">
        <v>273</v>
      </c>
      <c r="U91" s="165">
        <v>2020</v>
      </c>
      <c r="V91" s="161" t="s">
        <v>563</v>
      </c>
      <c r="W91" s="162">
        <v>147</v>
      </c>
      <c r="X91">
        <f>Lentelė5[[#This Row],[suma]]+W90</f>
        <v>222</v>
      </c>
      <c r="Z91" s="98">
        <v>2019</v>
      </c>
      <c r="AA91" s="194" t="s">
        <v>571</v>
      </c>
      <c r="AB91" s="179">
        <v>1812</v>
      </c>
      <c r="AE91" s="188">
        <v>2018</v>
      </c>
      <c r="AF91" s="180" t="s">
        <v>678</v>
      </c>
      <c r="AG91" s="180">
        <v>2</v>
      </c>
    </row>
    <row r="92" spans="2:34" x14ac:dyDescent="0.25">
      <c r="B92" s="46">
        <v>2019</v>
      </c>
      <c r="C92" s="115" t="s">
        <v>867</v>
      </c>
      <c r="D92" s="115">
        <v>750</v>
      </c>
      <c r="U92" s="188">
        <v>2020</v>
      </c>
      <c r="V92" s="161" t="s">
        <v>567</v>
      </c>
      <c r="W92" s="162">
        <v>163</v>
      </c>
      <c r="Z92" s="172">
        <v>2019</v>
      </c>
      <c r="AA92" s="180" t="s">
        <v>571</v>
      </c>
      <c r="AB92" s="180">
        <v>114</v>
      </c>
      <c r="AE92" s="51">
        <v>2018</v>
      </c>
      <c r="AF92" s="179" t="s">
        <v>678</v>
      </c>
      <c r="AG92" s="179">
        <v>1</v>
      </c>
      <c r="AH92">
        <v>4</v>
      </c>
    </row>
    <row r="93" spans="2:34" x14ac:dyDescent="0.25">
      <c r="B93" s="46">
        <v>2019</v>
      </c>
      <c r="C93" s="115" t="s">
        <v>867</v>
      </c>
      <c r="D93" s="115">
        <v>872</v>
      </c>
      <c r="U93" s="97">
        <v>2020</v>
      </c>
      <c r="V93" s="174" t="s">
        <v>567</v>
      </c>
      <c r="W93" s="170">
        <v>5</v>
      </c>
      <c r="Z93" s="51">
        <v>2019</v>
      </c>
      <c r="AA93" s="179" t="s">
        <v>571</v>
      </c>
      <c r="AB93" s="179">
        <v>536</v>
      </c>
      <c r="AE93" s="102">
        <v>2018</v>
      </c>
      <c r="AF93" s="179" t="s">
        <v>672</v>
      </c>
      <c r="AG93" s="179">
        <v>1</v>
      </c>
    </row>
    <row r="94" spans="2:34" x14ac:dyDescent="0.25">
      <c r="B94" s="46">
        <v>2019</v>
      </c>
      <c r="C94" s="115" t="s">
        <v>867</v>
      </c>
      <c r="D94" s="115">
        <v>728</v>
      </c>
      <c r="U94" s="160">
        <v>2020</v>
      </c>
      <c r="V94" s="171" t="s">
        <v>567</v>
      </c>
      <c r="W94" s="162">
        <v>0</v>
      </c>
      <c r="Z94" s="172">
        <v>2019</v>
      </c>
      <c r="AA94" s="183" t="s">
        <v>571</v>
      </c>
      <c r="AB94" s="183">
        <v>551</v>
      </c>
      <c r="AC94">
        <f>Lentelė6[[#This Row],[suma]]+AB93+AB92+AB91+AB90+AB89</f>
        <v>5056</v>
      </c>
      <c r="AE94" s="102">
        <v>2018</v>
      </c>
      <c r="AF94" s="176" t="s">
        <v>674</v>
      </c>
      <c r="AG94" s="179">
        <v>1</v>
      </c>
    </row>
    <row r="95" spans="2:34" x14ac:dyDescent="0.25">
      <c r="B95" s="91">
        <v>2020</v>
      </c>
      <c r="C95" s="115" t="s">
        <v>867</v>
      </c>
      <c r="D95" s="115">
        <v>553</v>
      </c>
      <c r="U95" s="188">
        <v>2020</v>
      </c>
      <c r="V95" s="161" t="s">
        <v>567</v>
      </c>
      <c r="W95" s="162">
        <v>748</v>
      </c>
      <c r="Z95" s="98">
        <v>2019</v>
      </c>
      <c r="AA95" s="182" t="s">
        <v>573</v>
      </c>
      <c r="AB95" s="182">
        <v>285</v>
      </c>
      <c r="AE95" s="167">
        <v>2018</v>
      </c>
      <c r="AF95" s="161" t="s">
        <v>581</v>
      </c>
      <c r="AG95" s="162">
        <v>1</v>
      </c>
    </row>
    <row r="96" spans="2:34" x14ac:dyDescent="0.25">
      <c r="B96" s="91">
        <v>2020</v>
      </c>
      <c r="C96" s="115" t="s">
        <v>867</v>
      </c>
      <c r="D96" s="115">
        <v>584</v>
      </c>
      <c r="U96" s="51">
        <v>2020</v>
      </c>
      <c r="V96" s="176" t="s">
        <v>567</v>
      </c>
      <c r="W96" s="170">
        <v>672</v>
      </c>
      <c r="X96">
        <v>1588</v>
      </c>
      <c r="Z96" s="51">
        <v>2019</v>
      </c>
      <c r="AA96" s="182" t="s">
        <v>573</v>
      </c>
      <c r="AB96" s="179">
        <v>422</v>
      </c>
      <c r="AE96" s="94">
        <v>2018</v>
      </c>
      <c r="AF96" s="174" t="s">
        <v>581</v>
      </c>
      <c r="AG96" s="170">
        <v>1</v>
      </c>
    </row>
    <row r="97" spans="2:34" x14ac:dyDescent="0.25">
      <c r="B97" s="46">
        <v>2020</v>
      </c>
      <c r="C97" s="115" t="s">
        <v>867</v>
      </c>
      <c r="D97" s="115">
        <v>140</v>
      </c>
      <c r="U97" s="97">
        <v>2020</v>
      </c>
      <c r="V97" s="176" t="s">
        <v>571</v>
      </c>
      <c r="W97" s="170">
        <v>110</v>
      </c>
      <c r="Z97" s="172">
        <v>2019</v>
      </c>
      <c r="AA97" s="161" t="s">
        <v>573</v>
      </c>
      <c r="AB97" s="218">
        <v>308292</v>
      </c>
      <c r="AC97">
        <f>Lentelė6[[#This Row],[suma]]+AB96+AB95</f>
        <v>308999</v>
      </c>
      <c r="AE97" s="95">
        <v>2018</v>
      </c>
      <c r="AF97" s="169" t="s">
        <v>581</v>
      </c>
      <c r="AG97" s="170">
        <v>1</v>
      </c>
    </row>
    <row r="98" spans="2:34" x14ac:dyDescent="0.25">
      <c r="B98" s="46">
        <v>2020</v>
      </c>
      <c r="C98" s="115" t="s">
        <v>867</v>
      </c>
      <c r="D98" s="115">
        <v>65</v>
      </c>
      <c r="U98" s="51">
        <v>2020</v>
      </c>
      <c r="V98" s="194" t="s">
        <v>571</v>
      </c>
      <c r="W98" s="179">
        <v>51</v>
      </c>
      <c r="Z98" s="98">
        <v>2019</v>
      </c>
      <c r="AA98" s="169" t="s">
        <v>869</v>
      </c>
      <c r="AB98" s="164">
        <v>5</v>
      </c>
      <c r="AE98" s="172">
        <v>2018</v>
      </c>
      <c r="AF98" s="173" t="s">
        <v>581</v>
      </c>
      <c r="AG98" s="162">
        <v>1</v>
      </c>
    </row>
    <row r="99" spans="2:34" x14ac:dyDescent="0.25">
      <c r="B99" s="46">
        <v>2020</v>
      </c>
      <c r="C99" s="115" t="s">
        <v>867</v>
      </c>
      <c r="D99" s="115">
        <v>157</v>
      </c>
      <c r="U99" s="160">
        <v>2020</v>
      </c>
      <c r="V99" s="180" t="s">
        <v>571</v>
      </c>
      <c r="W99" s="180">
        <v>107</v>
      </c>
      <c r="Z99" s="98">
        <v>2019</v>
      </c>
      <c r="AA99" s="169" t="s">
        <v>577</v>
      </c>
      <c r="AB99" s="228">
        <v>2</v>
      </c>
      <c r="AE99" s="172">
        <v>2018</v>
      </c>
      <c r="AF99" s="173" t="s">
        <v>581</v>
      </c>
      <c r="AG99" s="162">
        <v>1</v>
      </c>
      <c r="AH99">
        <v>5</v>
      </c>
    </row>
    <row r="100" spans="2:34" x14ac:dyDescent="0.25">
      <c r="B100" s="46">
        <v>2020</v>
      </c>
      <c r="C100" s="115" t="s">
        <v>867</v>
      </c>
      <c r="D100" s="115">
        <v>156</v>
      </c>
      <c r="U100" s="97">
        <v>2020</v>
      </c>
      <c r="V100" s="179" t="s">
        <v>571</v>
      </c>
      <c r="W100" s="179">
        <v>288</v>
      </c>
      <c r="Z100" s="172">
        <v>2019</v>
      </c>
      <c r="AA100" s="161" t="s">
        <v>577</v>
      </c>
      <c r="AB100" s="162">
        <v>3</v>
      </c>
      <c r="AC100">
        <v>5</v>
      </c>
      <c r="AE100" s="172">
        <v>2018</v>
      </c>
      <c r="AF100" s="168" t="s">
        <v>871</v>
      </c>
      <c r="AG100" s="166">
        <v>1</v>
      </c>
    </row>
    <row r="101" spans="2:34" x14ac:dyDescent="0.25">
      <c r="B101" s="46">
        <v>2020</v>
      </c>
      <c r="C101" s="115" t="s">
        <v>867</v>
      </c>
      <c r="D101" s="115">
        <v>82</v>
      </c>
      <c r="U101" s="188">
        <v>2020</v>
      </c>
      <c r="V101" s="181" t="s">
        <v>571</v>
      </c>
      <c r="W101" s="180">
        <v>748</v>
      </c>
      <c r="Z101" s="165">
        <v>2019</v>
      </c>
      <c r="AA101" s="161" t="s">
        <v>581</v>
      </c>
      <c r="AB101" s="229">
        <v>1</v>
      </c>
      <c r="AE101" s="172">
        <v>2018</v>
      </c>
      <c r="AF101" s="180" t="s">
        <v>595</v>
      </c>
      <c r="AG101" s="180">
        <v>1</v>
      </c>
    </row>
    <row r="102" spans="2:34" x14ac:dyDescent="0.25">
      <c r="B102" s="46">
        <v>2020</v>
      </c>
      <c r="C102" s="115" t="s">
        <v>867</v>
      </c>
      <c r="D102" s="115">
        <v>166</v>
      </c>
      <c r="U102" s="51">
        <v>2020</v>
      </c>
      <c r="V102" s="179" t="s">
        <v>571</v>
      </c>
      <c r="W102" s="179">
        <v>744</v>
      </c>
      <c r="X102">
        <v>2048</v>
      </c>
      <c r="Z102" s="172">
        <v>2019</v>
      </c>
      <c r="AA102" s="173" t="s">
        <v>581</v>
      </c>
      <c r="AB102" s="162">
        <v>1</v>
      </c>
      <c r="AE102" s="98">
        <v>2018</v>
      </c>
      <c r="AF102" s="179" t="s">
        <v>595</v>
      </c>
      <c r="AG102" s="179">
        <v>1</v>
      </c>
      <c r="AH102">
        <v>2</v>
      </c>
    </row>
    <row r="103" spans="2:34" x14ac:dyDescent="0.25">
      <c r="B103" s="46">
        <v>2020</v>
      </c>
      <c r="C103" s="115" t="s">
        <v>867</v>
      </c>
      <c r="D103" s="115">
        <v>156</v>
      </c>
      <c r="U103" s="160">
        <v>2020</v>
      </c>
      <c r="V103" s="173" t="s">
        <v>573</v>
      </c>
      <c r="W103" s="162">
        <v>468</v>
      </c>
      <c r="Z103" s="98">
        <v>2019</v>
      </c>
      <c r="AA103" s="176" t="s">
        <v>581</v>
      </c>
      <c r="AB103" s="170">
        <v>1</v>
      </c>
      <c r="AE103" s="95">
        <v>2018</v>
      </c>
      <c r="AF103" s="169" t="s">
        <v>599</v>
      </c>
      <c r="AG103" s="170">
        <v>1</v>
      </c>
    </row>
    <row r="104" spans="2:34" x14ac:dyDescent="0.25">
      <c r="B104" s="46">
        <v>2020</v>
      </c>
      <c r="C104" s="115" t="s">
        <v>867</v>
      </c>
      <c r="D104" s="115">
        <v>130</v>
      </c>
      <c r="U104" s="97">
        <v>2020</v>
      </c>
      <c r="V104" s="176" t="s">
        <v>573</v>
      </c>
      <c r="W104" s="170">
        <v>1976</v>
      </c>
      <c r="Z104" s="172">
        <v>2019</v>
      </c>
      <c r="AA104" s="173" t="s">
        <v>581</v>
      </c>
      <c r="AB104" s="162">
        <v>1</v>
      </c>
      <c r="AC104">
        <v>4</v>
      </c>
      <c r="AE104" s="172">
        <v>2018</v>
      </c>
      <c r="AF104" s="173" t="s">
        <v>599</v>
      </c>
      <c r="AG104" s="162">
        <v>4.26</v>
      </c>
    </row>
    <row r="105" spans="2:34" x14ac:dyDescent="0.25">
      <c r="B105" s="46">
        <v>2020</v>
      </c>
      <c r="C105" s="115" t="s">
        <v>867</v>
      </c>
      <c r="D105" s="115">
        <v>503</v>
      </c>
      <c r="U105" s="160">
        <v>2020</v>
      </c>
      <c r="V105" s="173" t="s">
        <v>573</v>
      </c>
      <c r="W105" s="162">
        <v>238</v>
      </c>
      <c r="Z105" s="98">
        <v>2019</v>
      </c>
      <c r="AA105" s="176" t="s">
        <v>660</v>
      </c>
      <c r="AB105" s="164">
        <v>0.5</v>
      </c>
      <c r="AE105" s="98">
        <v>2018</v>
      </c>
      <c r="AF105" s="176" t="s">
        <v>599</v>
      </c>
      <c r="AG105" s="170">
        <v>6.14</v>
      </c>
      <c r="AH105">
        <f>Lentelė7[[#This Row],[suma]]+AG104+AG103</f>
        <v>11.399999999999999</v>
      </c>
    </row>
    <row r="106" spans="2:34" x14ac:dyDescent="0.25">
      <c r="B106" s="46">
        <v>2020</v>
      </c>
      <c r="C106" s="115" t="s">
        <v>867</v>
      </c>
      <c r="D106" s="115">
        <v>1121</v>
      </c>
      <c r="U106" s="97">
        <v>2020</v>
      </c>
      <c r="V106" s="176" t="s">
        <v>573</v>
      </c>
      <c r="W106" s="170">
        <v>506</v>
      </c>
      <c r="Z106" s="98">
        <v>2019</v>
      </c>
      <c r="AA106" s="194" t="s">
        <v>583</v>
      </c>
      <c r="AB106" s="182">
        <v>3914</v>
      </c>
      <c r="AE106" s="172">
        <v>2018</v>
      </c>
      <c r="AF106" s="173" t="s">
        <v>605</v>
      </c>
      <c r="AG106" s="162">
        <v>24</v>
      </c>
    </row>
    <row r="107" spans="2:34" x14ac:dyDescent="0.25">
      <c r="B107" s="46">
        <v>2020</v>
      </c>
      <c r="C107" s="115" t="s">
        <v>867</v>
      </c>
      <c r="D107" s="115">
        <v>1451</v>
      </c>
      <c r="U107" s="51">
        <v>2020</v>
      </c>
      <c r="V107" s="169" t="s">
        <v>573</v>
      </c>
      <c r="W107" s="179">
        <v>748</v>
      </c>
      <c r="Z107" s="172">
        <v>2019</v>
      </c>
      <c r="AA107" s="181" t="s">
        <v>583</v>
      </c>
      <c r="AB107" s="183">
        <v>5410</v>
      </c>
      <c r="AE107" s="101">
        <v>2018</v>
      </c>
      <c r="AF107" s="174" t="s">
        <v>609</v>
      </c>
      <c r="AG107" s="170">
        <v>2947</v>
      </c>
    </row>
    <row r="108" spans="2:34" x14ac:dyDescent="0.25">
      <c r="B108" s="46">
        <v>2020</v>
      </c>
      <c r="C108" s="115" t="s">
        <v>867</v>
      </c>
      <c r="D108" s="115">
        <v>750</v>
      </c>
      <c r="U108" s="188">
        <v>2020</v>
      </c>
      <c r="V108" s="173" t="s">
        <v>573</v>
      </c>
      <c r="W108" s="180">
        <v>425</v>
      </c>
      <c r="X108">
        <v>4361</v>
      </c>
      <c r="Z108" s="98">
        <v>2019</v>
      </c>
      <c r="AA108" s="194" t="s">
        <v>583</v>
      </c>
      <c r="AB108" s="182">
        <v>13510</v>
      </c>
      <c r="AC108">
        <v>22834</v>
      </c>
      <c r="AE108" s="189">
        <v>2018</v>
      </c>
      <c r="AF108" s="171" t="s">
        <v>609</v>
      </c>
      <c r="AG108" s="162">
        <v>3243.6</v>
      </c>
    </row>
    <row r="109" spans="2:34" x14ac:dyDescent="0.25">
      <c r="B109" s="46">
        <v>2020</v>
      </c>
      <c r="C109" s="115" t="s">
        <v>867</v>
      </c>
      <c r="D109" s="115">
        <v>781</v>
      </c>
      <c r="U109" s="188">
        <v>2020</v>
      </c>
      <c r="V109" s="211" t="s">
        <v>680</v>
      </c>
      <c r="W109" s="212">
        <v>2</v>
      </c>
      <c r="Z109" s="104">
        <v>2019</v>
      </c>
      <c r="AA109" s="198" t="s">
        <v>591</v>
      </c>
      <c r="AB109" s="145">
        <v>1</v>
      </c>
      <c r="AE109" s="102">
        <v>2018</v>
      </c>
      <c r="AF109" s="176" t="s">
        <v>609</v>
      </c>
      <c r="AG109" s="170">
        <v>13065</v>
      </c>
    </row>
    <row r="110" spans="2:34" x14ac:dyDescent="0.25">
      <c r="B110" s="46">
        <v>2020</v>
      </c>
      <c r="C110" s="115" t="s">
        <v>867</v>
      </c>
      <c r="D110" s="115">
        <v>254</v>
      </c>
      <c r="U110" s="98">
        <v>2020</v>
      </c>
      <c r="V110" s="176" t="s">
        <v>581</v>
      </c>
      <c r="W110" s="170">
        <v>1</v>
      </c>
      <c r="Z110" s="105">
        <v>2019</v>
      </c>
      <c r="AA110" s="198" t="s">
        <v>591</v>
      </c>
      <c r="AB110" s="145">
        <v>1</v>
      </c>
      <c r="AE110" s="160">
        <v>2018</v>
      </c>
      <c r="AF110" s="161" t="s">
        <v>609</v>
      </c>
      <c r="AG110" s="162">
        <v>4373.5</v>
      </c>
    </row>
    <row r="111" spans="2:34" x14ac:dyDescent="0.25">
      <c r="B111" s="46">
        <v>2020</v>
      </c>
      <c r="C111" s="115" t="s">
        <v>867</v>
      </c>
      <c r="D111" s="115">
        <v>264</v>
      </c>
      <c r="U111" s="172">
        <v>2020</v>
      </c>
      <c r="V111" s="161" t="s">
        <v>581</v>
      </c>
      <c r="W111" s="166">
        <v>1</v>
      </c>
      <c r="Z111" s="103">
        <v>2019</v>
      </c>
      <c r="AA111" s="198" t="s">
        <v>591</v>
      </c>
      <c r="AB111" s="145">
        <v>1</v>
      </c>
      <c r="AE111" s="97">
        <v>2018</v>
      </c>
      <c r="AF111" s="176" t="s">
        <v>609</v>
      </c>
      <c r="AG111" s="170">
        <v>3937</v>
      </c>
    </row>
    <row r="112" spans="2:34" x14ac:dyDescent="0.25">
      <c r="B112" s="46">
        <v>2018</v>
      </c>
      <c r="C112" s="115" t="s">
        <v>868</v>
      </c>
      <c r="D112" s="115">
        <v>1</v>
      </c>
      <c r="U112" s="188">
        <v>2020</v>
      </c>
      <c r="V112" s="171" t="s">
        <v>581</v>
      </c>
      <c r="W112" s="162">
        <v>1</v>
      </c>
      <c r="Z112" s="102">
        <v>2019</v>
      </c>
      <c r="AA112" s="179" t="s">
        <v>591</v>
      </c>
      <c r="AB112" s="179">
        <v>1</v>
      </c>
      <c r="AE112" s="190">
        <v>2018</v>
      </c>
      <c r="AF112" s="161" t="s">
        <v>609</v>
      </c>
      <c r="AG112" s="162">
        <v>2463</v>
      </c>
      <c r="AH112">
        <f>Lentelė7[[#This Row],[suma]]+AG111+AG110+AG109+AG108+AG107</f>
        <v>30029.1</v>
      </c>
    </row>
    <row r="113" spans="2:34" x14ac:dyDescent="0.25">
      <c r="B113" s="46">
        <v>2018</v>
      </c>
      <c r="C113" s="115" t="s">
        <v>868</v>
      </c>
      <c r="D113" s="115">
        <v>1</v>
      </c>
      <c r="U113" s="98">
        <v>2020</v>
      </c>
      <c r="V113" s="176" t="s">
        <v>581</v>
      </c>
      <c r="W113" s="170">
        <v>1</v>
      </c>
      <c r="X113">
        <v>4</v>
      </c>
      <c r="Z113" s="185">
        <v>2019</v>
      </c>
      <c r="AA113" s="180" t="s">
        <v>591</v>
      </c>
      <c r="AB113" s="180">
        <v>1</v>
      </c>
      <c r="AC113">
        <v>5</v>
      </c>
      <c r="AE113" s="94">
        <v>2018</v>
      </c>
      <c r="AF113" s="179" t="s">
        <v>615</v>
      </c>
      <c r="AG113" s="179">
        <v>1</v>
      </c>
    </row>
    <row r="114" spans="2:34" x14ac:dyDescent="0.25">
      <c r="B114" s="46">
        <v>2018</v>
      </c>
      <c r="C114" s="115" t="s">
        <v>868</v>
      </c>
      <c r="D114" s="115">
        <v>1</v>
      </c>
      <c r="U114" s="189">
        <v>2020</v>
      </c>
      <c r="V114" s="171" t="s">
        <v>583</v>
      </c>
      <c r="W114" s="162">
        <v>10000</v>
      </c>
      <c r="Z114" s="185">
        <v>2019</v>
      </c>
      <c r="AA114" s="180" t="s">
        <v>694</v>
      </c>
      <c r="AB114" s="180">
        <v>1</v>
      </c>
      <c r="AE114" s="172">
        <v>2018</v>
      </c>
      <c r="AF114" s="180" t="s">
        <v>615</v>
      </c>
      <c r="AG114" s="180">
        <v>1</v>
      </c>
      <c r="AH114">
        <v>2</v>
      </c>
    </row>
    <row r="115" spans="2:34" x14ac:dyDescent="0.25">
      <c r="B115" s="46">
        <v>2018</v>
      </c>
      <c r="C115" s="115" t="s">
        <v>868</v>
      </c>
      <c r="D115" s="115">
        <v>4</v>
      </c>
      <c r="U115" s="98">
        <v>2020</v>
      </c>
      <c r="V115" s="169" t="s">
        <v>583</v>
      </c>
      <c r="W115" s="170">
        <v>200</v>
      </c>
      <c r="X115">
        <v>10200</v>
      </c>
      <c r="Z115" s="101">
        <v>2019</v>
      </c>
      <c r="AA115" s="174" t="s">
        <v>593</v>
      </c>
      <c r="AB115" s="164">
        <v>1</v>
      </c>
      <c r="AE115" s="102">
        <v>2018</v>
      </c>
      <c r="AF115" s="176" t="s">
        <v>646</v>
      </c>
      <c r="AG115" s="170">
        <v>9</v>
      </c>
    </row>
    <row r="116" spans="2:34" x14ac:dyDescent="0.25">
      <c r="B116" s="46">
        <v>2018</v>
      </c>
      <c r="C116" s="115" t="s">
        <v>868</v>
      </c>
      <c r="D116" s="115">
        <v>4</v>
      </c>
      <c r="U116" s="105">
        <v>2020</v>
      </c>
      <c r="V116" s="198" t="s">
        <v>591</v>
      </c>
      <c r="W116" s="145">
        <v>1</v>
      </c>
      <c r="Z116" s="172">
        <v>2019</v>
      </c>
      <c r="AA116" s="180" t="s">
        <v>593</v>
      </c>
      <c r="AB116" s="180">
        <v>1</v>
      </c>
      <c r="AC116">
        <v>3</v>
      </c>
      <c r="AE116" s="98">
        <v>2018</v>
      </c>
      <c r="AF116" s="176" t="s">
        <v>617</v>
      </c>
      <c r="AG116" s="170">
        <v>1</v>
      </c>
    </row>
    <row r="117" spans="2:34" x14ac:dyDescent="0.25">
      <c r="B117" s="46">
        <v>2018</v>
      </c>
      <c r="C117" s="114" t="s">
        <v>868</v>
      </c>
      <c r="D117" s="115">
        <v>1</v>
      </c>
      <c r="U117" s="101">
        <v>2020</v>
      </c>
      <c r="V117" s="169" t="s">
        <v>591</v>
      </c>
      <c r="W117" s="170">
        <v>1</v>
      </c>
      <c r="Z117" s="102">
        <v>2019</v>
      </c>
      <c r="AA117" s="169" t="s">
        <v>595</v>
      </c>
      <c r="AB117" s="170">
        <v>1</v>
      </c>
      <c r="AE117" s="172">
        <v>2018</v>
      </c>
      <c r="AF117" s="173" t="s">
        <v>617</v>
      </c>
      <c r="AG117" s="162">
        <v>1</v>
      </c>
    </row>
    <row r="118" spans="2:34" x14ac:dyDescent="0.25">
      <c r="B118" s="46">
        <v>2018</v>
      </c>
      <c r="C118" s="114" t="s">
        <v>868</v>
      </c>
      <c r="D118" s="115">
        <v>1</v>
      </c>
      <c r="U118" s="101">
        <v>2020</v>
      </c>
      <c r="V118" s="171" t="s">
        <v>591</v>
      </c>
      <c r="W118" s="166">
        <v>1</v>
      </c>
      <c r="Z118" s="185">
        <v>2019</v>
      </c>
      <c r="AA118" s="141" t="s">
        <v>684</v>
      </c>
      <c r="AB118" s="140">
        <v>3</v>
      </c>
      <c r="AE118" s="98">
        <v>2018</v>
      </c>
      <c r="AF118" s="176" t="s">
        <v>617</v>
      </c>
      <c r="AG118" s="170">
        <v>1</v>
      </c>
    </row>
    <row r="119" spans="2:34" x14ac:dyDescent="0.25">
      <c r="B119" s="46">
        <v>2018</v>
      </c>
      <c r="C119" s="114" t="s">
        <v>868</v>
      </c>
      <c r="D119" s="115">
        <v>1</v>
      </c>
      <c r="U119" s="104">
        <v>2020</v>
      </c>
      <c r="V119" s="198" t="s">
        <v>591</v>
      </c>
      <c r="W119" s="164">
        <v>1</v>
      </c>
      <c r="Z119" s="102">
        <v>2019</v>
      </c>
      <c r="AA119" s="141" t="s">
        <v>684</v>
      </c>
      <c r="AB119" s="176">
        <v>2</v>
      </c>
      <c r="AE119" s="95">
        <v>2018</v>
      </c>
      <c r="AF119" s="179" t="s">
        <v>617</v>
      </c>
      <c r="AG119" s="179">
        <v>1</v>
      </c>
    </row>
    <row r="120" spans="2:34" x14ac:dyDescent="0.25">
      <c r="B120" s="46">
        <v>2018</v>
      </c>
      <c r="C120" s="114" t="s">
        <v>868</v>
      </c>
      <c r="D120" s="115">
        <v>1</v>
      </c>
      <c r="U120" s="104">
        <v>2020</v>
      </c>
      <c r="V120" s="198" t="s">
        <v>591</v>
      </c>
      <c r="W120" s="166">
        <v>1</v>
      </c>
      <c r="Z120" s="103">
        <v>2019</v>
      </c>
      <c r="AA120" s="141" t="s">
        <v>684</v>
      </c>
      <c r="AB120" s="173">
        <v>2</v>
      </c>
      <c r="AE120" s="160">
        <v>2018</v>
      </c>
      <c r="AF120" s="191" t="s">
        <v>617</v>
      </c>
      <c r="AG120" s="191">
        <v>7</v>
      </c>
      <c r="AH120">
        <v>11</v>
      </c>
    </row>
    <row r="121" spans="2:34" x14ac:dyDescent="0.25">
      <c r="B121" s="46">
        <v>2018</v>
      </c>
      <c r="C121" s="114" t="s">
        <v>868</v>
      </c>
      <c r="D121" s="115">
        <v>1</v>
      </c>
      <c r="U121" s="188">
        <v>2020</v>
      </c>
      <c r="V121" s="171" t="s">
        <v>591</v>
      </c>
      <c r="W121" s="162">
        <v>1</v>
      </c>
      <c r="X121">
        <v>6</v>
      </c>
      <c r="Z121" s="104">
        <v>2019</v>
      </c>
      <c r="AA121" s="141" t="s">
        <v>684</v>
      </c>
      <c r="AB121" s="176">
        <v>2</v>
      </c>
      <c r="AE121" s="94">
        <v>2018</v>
      </c>
      <c r="AF121" s="169" t="s">
        <v>621</v>
      </c>
      <c r="AG121" s="170">
        <v>19</v>
      </c>
    </row>
    <row r="122" spans="2:34" x14ac:dyDescent="0.25">
      <c r="B122" s="46">
        <v>2018</v>
      </c>
      <c r="C122" s="114" t="s">
        <v>868</v>
      </c>
      <c r="D122" s="115">
        <v>1</v>
      </c>
      <c r="U122" s="102">
        <v>2020</v>
      </c>
      <c r="V122" s="179" t="s">
        <v>694</v>
      </c>
      <c r="W122" s="179">
        <v>1</v>
      </c>
      <c r="Z122" s="105">
        <v>2019</v>
      </c>
      <c r="AA122" s="141" t="s">
        <v>684</v>
      </c>
      <c r="AB122" s="140">
        <v>4</v>
      </c>
      <c r="AC122">
        <v>13</v>
      </c>
      <c r="AE122" s="172">
        <v>2018</v>
      </c>
      <c r="AF122" s="161" t="s">
        <v>621</v>
      </c>
      <c r="AG122" s="166">
        <v>18</v>
      </c>
    </row>
    <row r="123" spans="2:34" x14ac:dyDescent="0.25">
      <c r="B123" s="46">
        <v>2018</v>
      </c>
      <c r="C123" s="114" t="s">
        <v>868</v>
      </c>
      <c r="D123" s="115">
        <v>1</v>
      </c>
      <c r="U123" s="51">
        <v>2020</v>
      </c>
      <c r="V123" s="174" t="s">
        <v>593</v>
      </c>
      <c r="W123" s="170">
        <v>2</v>
      </c>
      <c r="Z123" s="200">
        <v>2019</v>
      </c>
      <c r="AA123" s="161" t="s">
        <v>662</v>
      </c>
      <c r="AB123" s="162">
        <v>274</v>
      </c>
      <c r="AE123" s="98">
        <v>2018</v>
      </c>
      <c r="AF123" s="176" t="s">
        <v>621</v>
      </c>
      <c r="AG123" s="170">
        <v>173</v>
      </c>
      <c r="AH123">
        <v>210</v>
      </c>
    </row>
    <row r="124" spans="2:34" x14ac:dyDescent="0.25">
      <c r="B124" s="46">
        <v>2018</v>
      </c>
      <c r="C124" s="114" t="s">
        <v>868</v>
      </c>
      <c r="D124" s="115">
        <v>4</v>
      </c>
      <c r="U124" s="98">
        <v>2020</v>
      </c>
      <c r="V124" s="176" t="s">
        <v>593</v>
      </c>
      <c r="W124" s="170">
        <v>1</v>
      </c>
      <c r="Z124" s="94">
        <v>2019</v>
      </c>
      <c r="AA124" s="163" t="s">
        <v>603</v>
      </c>
      <c r="AB124" s="164">
        <v>10</v>
      </c>
      <c r="AE124" s="98">
        <v>2018</v>
      </c>
      <c r="AF124" s="176" t="s">
        <v>629</v>
      </c>
      <c r="AG124" s="170">
        <v>1</v>
      </c>
    </row>
    <row r="125" spans="2:34" x14ac:dyDescent="0.25">
      <c r="B125" s="46">
        <v>2018</v>
      </c>
      <c r="C125" s="114" t="s">
        <v>868</v>
      </c>
      <c r="D125" s="115">
        <v>4</v>
      </c>
      <c r="U125" s="102">
        <v>2020</v>
      </c>
      <c r="V125" s="179" t="s">
        <v>593</v>
      </c>
      <c r="W125" s="179">
        <v>1</v>
      </c>
      <c r="Z125" s="98">
        <v>2019</v>
      </c>
      <c r="AA125" s="174" t="s">
        <v>607</v>
      </c>
      <c r="AB125" s="215">
        <v>316.10000000000002</v>
      </c>
      <c r="AE125" s="172">
        <v>2018</v>
      </c>
      <c r="AF125" s="173" t="s">
        <v>629</v>
      </c>
      <c r="AG125" s="162">
        <v>1</v>
      </c>
      <c r="AH125">
        <v>2</v>
      </c>
    </row>
    <row r="126" spans="2:34" x14ac:dyDescent="0.25">
      <c r="B126" s="46">
        <v>2018</v>
      </c>
      <c r="C126" s="114" t="s">
        <v>868</v>
      </c>
      <c r="D126" s="115">
        <v>1</v>
      </c>
      <c r="U126" s="185">
        <v>2020</v>
      </c>
      <c r="V126" s="180" t="s">
        <v>593</v>
      </c>
      <c r="W126" s="180">
        <v>2</v>
      </c>
      <c r="Z126" s="172">
        <v>2019</v>
      </c>
      <c r="AA126" s="195" t="s">
        <v>607</v>
      </c>
      <c r="AB126" s="196">
        <v>612.75</v>
      </c>
      <c r="AC126">
        <v>928.85</v>
      </c>
      <c r="AE126" s="188">
        <v>2018</v>
      </c>
      <c r="AF126" s="161" t="s">
        <v>631</v>
      </c>
      <c r="AG126" s="166">
        <v>2</v>
      </c>
    </row>
    <row r="127" spans="2:34" x14ac:dyDescent="0.25">
      <c r="B127" s="46">
        <v>2018</v>
      </c>
      <c r="C127" s="114" t="s">
        <v>868</v>
      </c>
      <c r="D127" s="115">
        <v>1</v>
      </c>
      <c r="U127" s="172">
        <v>2020</v>
      </c>
      <c r="V127" s="180" t="s">
        <v>593</v>
      </c>
      <c r="W127" s="180">
        <v>1</v>
      </c>
      <c r="Z127" s="160">
        <v>2019</v>
      </c>
      <c r="AA127" s="173" t="s">
        <v>609</v>
      </c>
      <c r="AB127" s="162">
        <v>1600</v>
      </c>
      <c r="AE127" s="51">
        <v>2018</v>
      </c>
      <c r="AF127" s="169" t="s">
        <v>633</v>
      </c>
      <c r="AG127" s="179">
        <v>30</v>
      </c>
    </row>
    <row r="128" spans="2:34" x14ac:dyDescent="0.25">
      <c r="B128" s="46">
        <v>2018</v>
      </c>
      <c r="C128" s="114" t="s">
        <v>868</v>
      </c>
      <c r="D128" s="115">
        <v>1</v>
      </c>
      <c r="U128" s="172">
        <v>2020</v>
      </c>
      <c r="V128" s="181" t="s">
        <v>593</v>
      </c>
      <c r="W128" s="183">
        <v>1</v>
      </c>
      <c r="X128">
        <v>9</v>
      </c>
      <c r="Z128" s="98">
        <v>2019</v>
      </c>
      <c r="AA128" s="176" t="s">
        <v>611</v>
      </c>
      <c r="AB128" s="170">
        <v>26.22</v>
      </c>
      <c r="AE128" s="165">
        <v>2018</v>
      </c>
      <c r="AF128" s="173" t="s">
        <v>636</v>
      </c>
      <c r="AG128" s="162">
        <v>128</v>
      </c>
    </row>
    <row r="129" spans="2:34" x14ac:dyDescent="0.25">
      <c r="B129" s="46">
        <v>2018</v>
      </c>
      <c r="C129" s="114" t="s">
        <v>868</v>
      </c>
      <c r="D129" s="115">
        <v>1</v>
      </c>
      <c r="U129" s="101">
        <v>2020</v>
      </c>
      <c r="V129" s="171" t="s">
        <v>595</v>
      </c>
      <c r="W129" s="166">
        <v>1</v>
      </c>
      <c r="Z129" s="51">
        <v>2019</v>
      </c>
      <c r="AA129" s="176" t="s">
        <v>611</v>
      </c>
      <c r="AB129" s="170">
        <v>8.1890000000000001</v>
      </c>
      <c r="AE129" s="51">
        <v>2018</v>
      </c>
      <c r="AF129" s="174" t="s">
        <v>636</v>
      </c>
      <c r="AG129" s="170">
        <v>3.35</v>
      </c>
    </row>
    <row r="130" spans="2:34" x14ac:dyDescent="0.25">
      <c r="B130" s="46">
        <v>2018</v>
      </c>
      <c r="C130" s="114" t="s">
        <v>868</v>
      </c>
      <c r="D130" s="115">
        <v>1</v>
      </c>
      <c r="U130" s="104">
        <v>2020</v>
      </c>
      <c r="V130" s="174" t="s">
        <v>595</v>
      </c>
      <c r="W130" s="170">
        <v>1</v>
      </c>
      <c r="Z130" s="51">
        <v>2019</v>
      </c>
      <c r="AA130" s="179" t="s">
        <v>611</v>
      </c>
      <c r="AB130" s="179">
        <v>6.3869999999999996</v>
      </c>
      <c r="AE130" s="98">
        <v>2018</v>
      </c>
      <c r="AF130" s="174" t="s">
        <v>636</v>
      </c>
      <c r="AG130" s="164">
        <v>5</v>
      </c>
    </row>
    <row r="131" spans="2:34" x14ac:dyDescent="0.25">
      <c r="B131" s="46">
        <v>2018</v>
      </c>
      <c r="C131" s="114" t="s">
        <v>868</v>
      </c>
      <c r="D131" s="115">
        <v>1</v>
      </c>
      <c r="U131" s="102">
        <v>2020</v>
      </c>
      <c r="V131" s="169" t="s">
        <v>595</v>
      </c>
      <c r="W131" s="170">
        <v>2</v>
      </c>
      <c r="Z131" s="172">
        <v>2019</v>
      </c>
      <c r="AA131" s="173" t="s">
        <v>611</v>
      </c>
      <c r="AB131" s="180">
        <v>7.6280000000000001</v>
      </c>
      <c r="AE131" s="188">
        <v>2018</v>
      </c>
      <c r="AF131" s="180" t="s">
        <v>636</v>
      </c>
      <c r="AG131" s="180">
        <v>4.5599999999999996</v>
      </c>
      <c r="AH131">
        <f>Lentelė7[[#This Row],[suma]]+AG130+AG129+AG128</f>
        <v>140.91</v>
      </c>
    </row>
    <row r="132" spans="2:34" x14ac:dyDescent="0.25">
      <c r="B132" s="46">
        <v>2018</v>
      </c>
      <c r="C132" s="114" t="s">
        <v>868</v>
      </c>
      <c r="D132" s="115">
        <v>1</v>
      </c>
      <c r="U132" s="98">
        <v>2020</v>
      </c>
      <c r="V132" s="179" t="s">
        <v>595</v>
      </c>
      <c r="W132" s="179">
        <v>1</v>
      </c>
      <c r="Z132" s="98">
        <v>2019</v>
      </c>
      <c r="AA132" s="182" t="s">
        <v>611</v>
      </c>
      <c r="AB132" s="182">
        <v>4.508</v>
      </c>
      <c r="AC132">
        <f>Lentelė6[[#This Row],[suma]]+AB131+AB130+AB129+AB128</f>
        <v>52.932000000000002</v>
      </c>
      <c r="AE132" s="95">
        <v>2018</v>
      </c>
      <c r="AF132" s="176" t="s">
        <v>703</v>
      </c>
      <c r="AG132" s="179">
        <v>2.1122369999999999E-3</v>
      </c>
    </row>
    <row r="133" spans="2:34" x14ac:dyDescent="0.25">
      <c r="B133" s="46">
        <v>2018</v>
      </c>
      <c r="C133" s="114" t="s">
        <v>868</v>
      </c>
      <c r="D133" s="115">
        <v>1</v>
      </c>
      <c r="U133" s="102">
        <v>2020</v>
      </c>
      <c r="V133" s="169" t="s">
        <v>595</v>
      </c>
      <c r="W133" s="170">
        <v>1</v>
      </c>
      <c r="Z133" s="172">
        <v>2019</v>
      </c>
      <c r="AA133" s="161" t="s">
        <v>613</v>
      </c>
      <c r="AB133" s="166">
        <v>1</v>
      </c>
      <c r="AE133" s="160">
        <v>2018</v>
      </c>
      <c r="AF133" s="195" t="s">
        <v>703</v>
      </c>
      <c r="AG133" s="191">
        <v>2.4699499999999998E-3</v>
      </c>
      <c r="AH133">
        <f>Lentelė7[[#This Row],[suma]]+AG132</f>
        <v>4.5821869999999997E-3</v>
      </c>
    </row>
    <row r="134" spans="2:34" x14ac:dyDescent="0.25">
      <c r="B134" s="46">
        <v>2018</v>
      </c>
      <c r="C134" s="114" t="s">
        <v>868</v>
      </c>
      <c r="D134" s="115">
        <v>1</v>
      </c>
      <c r="U134" s="185">
        <v>2020</v>
      </c>
      <c r="V134" s="161" t="s">
        <v>595</v>
      </c>
      <c r="W134" s="162">
        <v>1</v>
      </c>
      <c r="Z134" s="172">
        <v>2019</v>
      </c>
      <c r="AA134" s="173" t="s">
        <v>613</v>
      </c>
      <c r="AB134" s="162">
        <v>1</v>
      </c>
      <c r="AE134" s="188">
        <v>2018</v>
      </c>
      <c r="AF134" s="171" t="s">
        <v>880</v>
      </c>
      <c r="AG134" s="162">
        <v>1</v>
      </c>
    </row>
    <row r="135" spans="2:34" x14ac:dyDescent="0.25">
      <c r="B135" s="46">
        <v>2018</v>
      </c>
      <c r="C135" s="114" t="s">
        <v>868</v>
      </c>
      <c r="D135" s="115">
        <v>1</v>
      </c>
      <c r="U135" s="102">
        <v>2020</v>
      </c>
      <c r="V135" s="169" t="s">
        <v>595</v>
      </c>
      <c r="W135" s="170">
        <v>1</v>
      </c>
      <c r="X135">
        <v>8</v>
      </c>
      <c r="Z135" s="98">
        <v>2019</v>
      </c>
      <c r="AA135" s="176" t="s">
        <v>613</v>
      </c>
      <c r="AB135" s="170">
        <v>1</v>
      </c>
      <c r="AE135" s="51">
        <v>2018</v>
      </c>
      <c r="AF135" s="174" t="s">
        <v>881</v>
      </c>
      <c r="AG135" s="170">
        <v>1</v>
      </c>
    </row>
    <row r="136" spans="2:34" x14ac:dyDescent="0.25">
      <c r="B136" s="46">
        <v>2018</v>
      </c>
      <c r="C136" s="114" t="s">
        <v>868</v>
      </c>
      <c r="D136" s="115">
        <v>1</v>
      </c>
      <c r="U136" s="188">
        <v>2020</v>
      </c>
      <c r="V136" s="141" t="s">
        <v>684</v>
      </c>
      <c r="W136" s="166">
        <v>2</v>
      </c>
      <c r="Z136" s="197">
        <v>2019</v>
      </c>
      <c r="AA136" s="173" t="s">
        <v>613</v>
      </c>
      <c r="AB136" s="162">
        <v>1</v>
      </c>
    </row>
    <row r="137" spans="2:34" x14ac:dyDescent="0.25">
      <c r="B137" s="91">
        <v>2019</v>
      </c>
      <c r="C137" s="114" t="s">
        <v>868</v>
      </c>
      <c r="D137" s="115">
        <v>1</v>
      </c>
      <c r="U137" s="104">
        <v>2020</v>
      </c>
      <c r="V137" s="141" t="s">
        <v>684</v>
      </c>
      <c r="W137" s="164">
        <v>3</v>
      </c>
      <c r="Z137" s="97">
        <v>2019</v>
      </c>
      <c r="AA137" s="163" t="s">
        <v>702</v>
      </c>
      <c r="AB137" s="164">
        <v>1</v>
      </c>
    </row>
    <row r="138" spans="2:34" x14ac:dyDescent="0.25">
      <c r="B138" s="46">
        <v>2019</v>
      </c>
      <c r="C138" s="114" t="s">
        <v>868</v>
      </c>
      <c r="D138" s="115">
        <v>1</v>
      </c>
      <c r="U138" s="105">
        <v>2020</v>
      </c>
      <c r="V138" s="141" t="s">
        <v>684</v>
      </c>
      <c r="W138" s="140">
        <v>2</v>
      </c>
      <c r="Z138" s="97">
        <v>2019</v>
      </c>
      <c r="AA138" s="163" t="s">
        <v>702</v>
      </c>
      <c r="AB138" s="216">
        <v>1</v>
      </c>
      <c r="AC138">
        <v>6</v>
      </c>
    </row>
    <row r="139" spans="2:34" x14ac:dyDescent="0.25">
      <c r="B139" s="46">
        <v>2019</v>
      </c>
      <c r="C139" s="114" t="s">
        <v>868</v>
      </c>
      <c r="D139" s="115">
        <v>1</v>
      </c>
      <c r="U139" s="101">
        <v>2020</v>
      </c>
      <c r="V139" s="171" t="s">
        <v>684</v>
      </c>
      <c r="W139" s="173">
        <v>2</v>
      </c>
      <c r="Z139" s="98">
        <v>2019</v>
      </c>
      <c r="AA139" s="169" t="s">
        <v>874</v>
      </c>
      <c r="AB139" s="164">
        <v>1</v>
      </c>
    </row>
    <row r="140" spans="2:34" x14ac:dyDescent="0.25">
      <c r="B140" s="46">
        <v>2019</v>
      </c>
      <c r="C140" s="114" t="s">
        <v>868</v>
      </c>
      <c r="D140" s="115">
        <v>1</v>
      </c>
      <c r="U140" s="101">
        <v>2020</v>
      </c>
      <c r="V140" s="141" t="s">
        <v>684</v>
      </c>
      <c r="W140" s="164">
        <v>6</v>
      </c>
      <c r="Z140" s="94">
        <v>2019</v>
      </c>
      <c r="AA140" s="179" t="s">
        <v>615</v>
      </c>
      <c r="AB140" s="179">
        <v>1</v>
      </c>
    </row>
    <row r="141" spans="2:34" x14ac:dyDescent="0.25">
      <c r="B141" s="46">
        <v>2019</v>
      </c>
      <c r="C141" s="114" t="s">
        <v>868</v>
      </c>
      <c r="D141" s="115">
        <v>1</v>
      </c>
      <c r="U141" s="104">
        <v>2020</v>
      </c>
      <c r="V141" s="141" t="s">
        <v>684</v>
      </c>
      <c r="W141" s="166">
        <v>8</v>
      </c>
      <c r="X141">
        <v>23</v>
      </c>
      <c r="Z141" s="172">
        <v>2019</v>
      </c>
      <c r="AA141" s="171" t="s">
        <v>615</v>
      </c>
      <c r="AB141" s="166">
        <v>1</v>
      </c>
      <c r="AC141">
        <v>2</v>
      </c>
    </row>
    <row r="142" spans="2:34" x14ac:dyDescent="0.25">
      <c r="B142" s="46">
        <v>2019</v>
      </c>
      <c r="C142" s="114" t="s">
        <v>868</v>
      </c>
      <c r="D142" s="115">
        <v>1</v>
      </c>
      <c r="U142" s="51">
        <v>2020</v>
      </c>
      <c r="V142" s="169" t="s">
        <v>662</v>
      </c>
      <c r="W142" s="170">
        <v>369</v>
      </c>
      <c r="Z142" s="95">
        <v>2019</v>
      </c>
      <c r="AA142" s="179" t="s">
        <v>617</v>
      </c>
      <c r="AB142" s="179">
        <v>1</v>
      </c>
    </row>
    <row r="143" spans="2:34" x14ac:dyDescent="0.25">
      <c r="B143" s="46">
        <v>2019</v>
      </c>
      <c r="C143" s="114" t="s">
        <v>868</v>
      </c>
      <c r="D143" s="115">
        <v>1</v>
      </c>
      <c r="U143" s="200">
        <v>2020</v>
      </c>
      <c r="V143" s="161" t="s">
        <v>662</v>
      </c>
      <c r="W143" s="162">
        <v>704</v>
      </c>
      <c r="X143">
        <v>1073</v>
      </c>
      <c r="Z143" s="97">
        <v>2019</v>
      </c>
      <c r="AA143" s="179" t="s">
        <v>617</v>
      </c>
      <c r="AB143" s="179">
        <v>1</v>
      </c>
    </row>
    <row r="144" spans="2:34" x14ac:dyDescent="0.25">
      <c r="B144" s="46">
        <v>2019</v>
      </c>
      <c r="C144" s="114" t="s">
        <v>868</v>
      </c>
      <c r="D144" s="115">
        <v>1</v>
      </c>
      <c r="U144" s="188">
        <v>2020</v>
      </c>
      <c r="V144" s="161" t="s">
        <v>664</v>
      </c>
      <c r="W144" s="183">
        <v>1</v>
      </c>
      <c r="Z144" s="160">
        <v>2019</v>
      </c>
      <c r="AA144" s="180" t="s">
        <v>617</v>
      </c>
      <c r="AB144" s="180">
        <v>1</v>
      </c>
      <c r="AC144">
        <v>3</v>
      </c>
    </row>
    <row r="145" spans="2:29" x14ac:dyDescent="0.25">
      <c r="B145" s="46">
        <v>2019</v>
      </c>
      <c r="C145" s="114" t="s">
        <v>868</v>
      </c>
      <c r="D145" s="115">
        <v>1</v>
      </c>
      <c r="U145" s="51">
        <v>2020</v>
      </c>
      <c r="V145" s="169" t="s">
        <v>664</v>
      </c>
      <c r="W145" s="182">
        <v>1</v>
      </c>
      <c r="X145">
        <v>2</v>
      </c>
      <c r="Z145" s="51">
        <v>2019</v>
      </c>
      <c r="AA145" s="174" t="s">
        <v>619</v>
      </c>
      <c r="AB145" s="170">
        <v>1</v>
      </c>
    </row>
    <row r="146" spans="2:29" x14ac:dyDescent="0.25">
      <c r="B146" s="46">
        <v>2019</v>
      </c>
      <c r="C146" s="114" t="s">
        <v>868</v>
      </c>
      <c r="D146" s="115">
        <v>1</v>
      </c>
      <c r="U146" s="51">
        <v>2020</v>
      </c>
      <c r="V146" s="174" t="s">
        <v>689</v>
      </c>
      <c r="W146" s="170">
        <v>1</v>
      </c>
      <c r="Z146" s="98">
        <v>2019</v>
      </c>
      <c r="AA146" s="176" t="s">
        <v>619</v>
      </c>
      <c r="AB146" s="170">
        <v>1</v>
      </c>
    </row>
    <row r="147" spans="2:29" x14ac:dyDescent="0.25">
      <c r="B147" s="46">
        <v>2019</v>
      </c>
      <c r="C147" s="114" t="s">
        <v>868</v>
      </c>
      <c r="D147" s="115">
        <v>1</v>
      </c>
      <c r="U147" s="188">
        <v>2020</v>
      </c>
      <c r="V147" s="171" t="s">
        <v>689</v>
      </c>
      <c r="W147" s="162">
        <v>1</v>
      </c>
      <c r="X147">
        <v>2</v>
      </c>
      <c r="Z147" s="172">
        <v>2019</v>
      </c>
      <c r="AA147" s="173" t="s">
        <v>619</v>
      </c>
      <c r="AB147" s="162">
        <v>1</v>
      </c>
    </row>
    <row r="148" spans="2:29" x14ac:dyDescent="0.25">
      <c r="B148" s="46">
        <v>2019</v>
      </c>
      <c r="C148" s="114" t="s">
        <v>868</v>
      </c>
      <c r="D148" s="115">
        <v>1</v>
      </c>
      <c r="U148" s="188">
        <v>2020</v>
      </c>
      <c r="V148" s="171" t="s">
        <v>650</v>
      </c>
      <c r="W148" s="162">
        <v>2</v>
      </c>
      <c r="Z148" s="94">
        <v>2019</v>
      </c>
      <c r="AA148" s="169" t="s">
        <v>619</v>
      </c>
      <c r="AB148" s="170">
        <v>1</v>
      </c>
    </row>
    <row r="149" spans="2:29" x14ac:dyDescent="0.25">
      <c r="B149" s="46">
        <v>2019</v>
      </c>
      <c r="C149" s="114" t="s">
        <v>868</v>
      </c>
      <c r="D149" s="115">
        <v>1</v>
      </c>
      <c r="U149" s="98">
        <v>2020</v>
      </c>
      <c r="V149" s="176" t="s">
        <v>599</v>
      </c>
      <c r="W149" s="170">
        <v>0.9</v>
      </c>
      <c r="Z149" s="172">
        <v>2019</v>
      </c>
      <c r="AA149" s="173" t="s">
        <v>619</v>
      </c>
      <c r="AB149" s="162">
        <v>1</v>
      </c>
      <c r="AC149">
        <v>5</v>
      </c>
    </row>
    <row r="150" spans="2:29" x14ac:dyDescent="0.25">
      <c r="B150" s="91">
        <v>2020</v>
      </c>
      <c r="C150" s="114" t="s">
        <v>868</v>
      </c>
      <c r="D150" s="115">
        <v>1</v>
      </c>
      <c r="U150" s="172">
        <v>2020</v>
      </c>
      <c r="V150" s="161" t="s">
        <v>599</v>
      </c>
      <c r="W150" s="166">
        <v>0.7</v>
      </c>
      <c r="Z150" s="172">
        <v>2019</v>
      </c>
      <c r="AA150" s="161" t="s">
        <v>621</v>
      </c>
      <c r="AB150" s="162">
        <v>11</v>
      </c>
    </row>
    <row r="151" spans="2:29" x14ac:dyDescent="0.25">
      <c r="B151" s="91">
        <v>2020</v>
      </c>
      <c r="C151" s="114" t="s">
        <v>868</v>
      </c>
      <c r="D151" s="115">
        <v>1</v>
      </c>
      <c r="U151" s="185">
        <v>2020</v>
      </c>
      <c r="V151" s="161" t="s">
        <v>599</v>
      </c>
      <c r="W151" s="162">
        <v>0.4</v>
      </c>
      <c r="Z151" s="98">
        <v>2019</v>
      </c>
      <c r="AA151" s="169" t="s">
        <v>621</v>
      </c>
      <c r="AB151" s="170">
        <v>30</v>
      </c>
      <c r="AC151">
        <v>41</v>
      </c>
    </row>
    <row r="152" spans="2:29" x14ac:dyDescent="0.25">
      <c r="B152" s="46">
        <v>2020</v>
      </c>
      <c r="C152" s="114" t="s">
        <v>868</v>
      </c>
      <c r="D152" s="115">
        <v>1</v>
      </c>
      <c r="U152" s="102">
        <v>2020</v>
      </c>
      <c r="V152" s="176" t="s">
        <v>599</v>
      </c>
      <c r="W152" s="170">
        <v>1.67</v>
      </c>
      <c r="Z152" s="98">
        <v>2019</v>
      </c>
      <c r="AA152" s="176" t="s">
        <v>644</v>
      </c>
      <c r="AB152" s="170">
        <v>1</v>
      </c>
    </row>
    <row r="153" spans="2:29" x14ac:dyDescent="0.25">
      <c r="B153" s="46">
        <v>2020</v>
      </c>
      <c r="C153" s="114" t="s">
        <v>868</v>
      </c>
      <c r="D153" s="115">
        <v>1</v>
      </c>
      <c r="U153" s="185">
        <v>2020</v>
      </c>
      <c r="V153" s="173" t="s">
        <v>599</v>
      </c>
      <c r="W153" s="162">
        <v>2</v>
      </c>
      <c r="Z153" s="172">
        <v>2019</v>
      </c>
      <c r="AA153" s="173" t="s">
        <v>644</v>
      </c>
      <c r="AB153" s="162">
        <v>1</v>
      </c>
      <c r="AC153">
        <v>2</v>
      </c>
    </row>
    <row r="154" spans="2:29" x14ac:dyDescent="0.25">
      <c r="B154" s="46">
        <v>2020</v>
      </c>
      <c r="C154" s="114" t="s">
        <v>868</v>
      </c>
      <c r="D154" s="115">
        <v>1</v>
      </c>
      <c r="U154" s="193">
        <v>2020</v>
      </c>
      <c r="V154" s="169" t="s">
        <v>599</v>
      </c>
      <c r="W154" s="170">
        <v>2.87</v>
      </c>
      <c r="Z154" s="101">
        <v>2019</v>
      </c>
      <c r="AA154" s="171" t="s">
        <v>623</v>
      </c>
      <c r="AB154" s="166">
        <v>37866</v>
      </c>
    </row>
    <row r="155" spans="2:29" x14ac:dyDescent="0.25">
      <c r="B155" s="46">
        <v>2020</v>
      </c>
      <c r="C155" s="114" t="s">
        <v>868</v>
      </c>
      <c r="D155" s="115">
        <v>1</v>
      </c>
      <c r="U155" s="94">
        <v>2020</v>
      </c>
      <c r="V155" s="163" t="s">
        <v>599</v>
      </c>
      <c r="W155" s="164">
        <v>0.23</v>
      </c>
      <c r="X155">
        <v>8.77</v>
      </c>
      <c r="Z155" s="192">
        <v>2019</v>
      </c>
      <c r="AA155" s="174" t="s">
        <v>623</v>
      </c>
      <c r="AB155" s="170">
        <v>91148</v>
      </c>
      <c r="AC155">
        <f>Lentelė6[[#This Row],[suma]]+AB154</f>
        <v>129014</v>
      </c>
    </row>
    <row r="156" spans="2:29" x14ac:dyDescent="0.25">
      <c r="B156" s="46">
        <v>2020</v>
      </c>
      <c r="C156" s="114" t="s">
        <v>868</v>
      </c>
      <c r="D156" s="115">
        <v>1</v>
      </c>
      <c r="U156" s="167">
        <v>2020</v>
      </c>
      <c r="V156" s="186" t="s">
        <v>601</v>
      </c>
      <c r="W156" s="162">
        <v>1.1100000000000001</v>
      </c>
      <c r="Z156" s="101">
        <v>2019</v>
      </c>
      <c r="AA156" s="182" t="s">
        <v>629</v>
      </c>
      <c r="AB156" s="182">
        <v>2</v>
      </c>
    </row>
    <row r="157" spans="2:29" x14ac:dyDescent="0.25">
      <c r="B157" s="46">
        <v>2020</v>
      </c>
      <c r="C157" s="114" t="s">
        <v>868</v>
      </c>
      <c r="D157" s="115">
        <v>1</v>
      </c>
      <c r="U157" s="94">
        <v>2020</v>
      </c>
      <c r="V157" s="187" t="s">
        <v>601</v>
      </c>
      <c r="W157" s="179">
        <v>0.48799999999999999</v>
      </c>
      <c r="X157">
        <f>Lentelė5[[#This Row],[suma]]+W156</f>
        <v>1.5980000000000001</v>
      </c>
      <c r="Z157" s="102">
        <v>2019</v>
      </c>
      <c r="AA157" s="140" t="s">
        <v>682</v>
      </c>
      <c r="AB157" s="140">
        <v>16</v>
      </c>
    </row>
    <row r="158" spans="2:29" x14ac:dyDescent="0.25">
      <c r="B158" s="46">
        <v>2020</v>
      </c>
      <c r="C158" s="114" t="s">
        <v>868</v>
      </c>
      <c r="D158" s="115">
        <v>1</v>
      </c>
      <c r="U158" s="98">
        <v>2020</v>
      </c>
      <c r="V158" s="169" t="s">
        <v>603</v>
      </c>
      <c r="W158" s="170">
        <v>3</v>
      </c>
      <c r="Z158" s="185">
        <v>2019</v>
      </c>
      <c r="AA158" s="140" t="s">
        <v>682</v>
      </c>
      <c r="AB158" s="140">
        <v>35</v>
      </c>
    </row>
    <row r="159" spans="2:29" x14ac:dyDescent="0.25">
      <c r="B159" s="46">
        <v>2020</v>
      </c>
      <c r="C159" s="114" t="s">
        <v>868</v>
      </c>
      <c r="D159" s="115">
        <v>1</v>
      </c>
      <c r="U159" s="94">
        <v>2020</v>
      </c>
      <c r="V159" s="169" t="s">
        <v>605</v>
      </c>
      <c r="W159" s="170">
        <v>2</v>
      </c>
      <c r="Z159" s="105">
        <v>2019</v>
      </c>
      <c r="AA159" s="140" t="s">
        <v>682</v>
      </c>
      <c r="AB159" s="140">
        <v>80</v>
      </c>
    </row>
    <row r="160" spans="2:29" x14ac:dyDescent="0.25">
      <c r="B160" s="46">
        <v>2020</v>
      </c>
      <c r="C160" s="114" t="s">
        <v>868</v>
      </c>
      <c r="D160" s="115">
        <v>1</v>
      </c>
      <c r="U160" s="172">
        <v>2020</v>
      </c>
      <c r="V160" s="171" t="s">
        <v>607</v>
      </c>
      <c r="W160" s="199">
        <v>228.22</v>
      </c>
      <c r="Z160" s="103">
        <v>2019</v>
      </c>
      <c r="AA160" s="140" t="s">
        <v>682</v>
      </c>
      <c r="AB160" s="140">
        <v>25</v>
      </c>
    </row>
    <row r="161" spans="2:29" x14ac:dyDescent="0.25">
      <c r="B161" s="46">
        <v>2020</v>
      </c>
      <c r="C161" s="114" t="s">
        <v>868</v>
      </c>
      <c r="D161" s="115">
        <v>1</v>
      </c>
      <c r="U161" s="51">
        <v>2020</v>
      </c>
      <c r="V161" s="176" t="s">
        <v>611</v>
      </c>
      <c r="W161" s="176">
        <v>7.62</v>
      </c>
      <c r="Z161" s="104">
        <v>2019</v>
      </c>
      <c r="AA161" s="140" t="s">
        <v>682</v>
      </c>
      <c r="AB161" s="140">
        <v>24</v>
      </c>
      <c r="AC161">
        <v>180</v>
      </c>
    </row>
    <row r="162" spans="2:29" x14ac:dyDescent="0.25">
      <c r="B162" s="46">
        <v>2020</v>
      </c>
      <c r="C162" s="114" t="s">
        <v>868</v>
      </c>
      <c r="D162" s="115">
        <v>1</v>
      </c>
      <c r="U162" s="172">
        <v>2020</v>
      </c>
      <c r="V162" s="173" t="s">
        <v>613</v>
      </c>
      <c r="W162" s="180">
        <v>1</v>
      </c>
      <c r="Z162" s="172">
        <v>2019</v>
      </c>
      <c r="AA162" s="180" t="s">
        <v>636</v>
      </c>
      <c r="AB162" s="180">
        <v>2.9</v>
      </c>
    </row>
    <row r="163" spans="2:29" x14ac:dyDescent="0.25">
      <c r="B163" s="46">
        <v>2020</v>
      </c>
      <c r="C163" s="114" t="s">
        <v>868</v>
      </c>
      <c r="D163" s="115">
        <v>1</v>
      </c>
      <c r="U163" s="97">
        <v>2020</v>
      </c>
      <c r="V163" s="176" t="s">
        <v>617</v>
      </c>
      <c r="W163" s="170">
        <v>4</v>
      </c>
      <c r="Z163" s="94">
        <v>2019</v>
      </c>
      <c r="AA163" s="176" t="s">
        <v>636</v>
      </c>
      <c r="AB163" s="170">
        <v>5</v>
      </c>
      <c r="AC163">
        <v>7.9</v>
      </c>
    </row>
    <row r="164" spans="2:29" x14ac:dyDescent="0.25">
      <c r="B164" s="46">
        <v>2020</v>
      </c>
      <c r="C164" s="114" t="s">
        <v>868</v>
      </c>
      <c r="D164" s="115">
        <v>1</v>
      </c>
      <c r="U164" s="97">
        <v>2020</v>
      </c>
      <c r="V164" s="187" t="s">
        <v>617</v>
      </c>
      <c r="W164" s="179">
        <v>1</v>
      </c>
      <c r="Z164" s="188">
        <v>2019</v>
      </c>
      <c r="AA164" s="173" t="s">
        <v>638</v>
      </c>
      <c r="AB164" s="180">
        <v>40</v>
      </c>
    </row>
    <row r="165" spans="2:29" x14ac:dyDescent="0.25">
      <c r="B165" s="46">
        <v>2020</v>
      </c>
      <c r="C165" s="114" t="s">
        <v>868</v>
      </c>
      <c r="D165" s="115">
        <v>1</v>
      </c>
      <c r="U165" s="160">
        <v>2020</v>
      </c>
      <c r="V165" s="180" t="s">
        <v>617</v>
      </c>
      <c r="W165" s="180">
        <v>1</v>
      </c>
      <c r="Z165" s="98">
        <v>2019</v>
      </c>
      <c r="AA165" s="176" t="s">
        <v>638</v>
      </c>
      <c r="AB165" s="179">
        <v>61</v>
      </c>
    </row>
    <row r="166" spans="2:29" x14ac:dyDescent="0.25">
      <c r="B166" s="46">
        <v>2020</v>
      </c>
      <c r="C166" s="114" t="s">
        <v>868</v>
      </c>
      <c r="D166" s="115">
        <v>1</v>
      </c>
      <c r="U166" s="98">
        <v>2020</v>
      </c>
      <c r="V166" s="174" t="s">
        <v>617</v>
      </c>
      <c r="W166" s="182">
        <v>1</v>
      </c>
      <c r="Z166" s="172">
        <v>2019</v>
      </c>
      <c r="AA166" s="173" t="s">
        <v>638</v>
      </c>
      <c r="AB166" s="180">
        <v>45</v>
      </c>
    </row>
    <row r="167" spans="2:29" x14ac:dyDescent="0.25">
      <c r="B167" s="100">
        <v>2019</v>
      </c>
      <c r="C167" s="45" t="s">
        <v>555</v>
      </c>
      <c r="D167" s="112">
        <v>200</v>
      </c>
      <c r="U167" s="172">
        <v>2020</v>
      </c>
      <c r="V167" s="173" t="s">
        <v>617</v>
      </c>
      <c r="W167" s="180">
        <v>1</v>
      </c>
      <c r="X167">
        <v>8</v>
      </c>
      <c r="Z167" s="98">
        <v>2019</v>
      </c>
      <c r="AA167" s="176" t="s">
        <v>638</v>
      </c>
      <c r="AB167" s="179">
        <v>73</v>
      </c>
    </row>
    <row r="168" spans="2:29" x14ac:dyDescent="0.25">
      <c r="B168" s="91">
        <v>2019</v>
      </c>
      <c r="C168" s="45" t="s">
        <v>555</v>
      </c>
      <c r="D168" s="115">
        <v>3400</v>
      </c>
      <c r="U168" s="98">
        <v>2020</v>
      </c>
      <c r="V168" s="174" t="s">
        <v>619</v>
      </c>
      <c r="W168" s="164">
        <v>1</v>
      </c>
      <c r="Z168" s="165">
        <v>2019</v>
      </c>
      <c r="AA168" s="161" t="s">
        <v>638</v>
      </c>
      <c r="AB168" s="180">
        <v>10</v>
      </c>
      <c r="AC168">
        <v>229</v>
      </c>
    </row>
    <row r="169" spans="2:29" x14ac:dyDescent="0.25">
      <c r="B169" s="91">
        <v>2019</v>
      </c>
      <c r="C169" s="45" t="s">
        <v>555</v>
      </c>
      <c r="D169" s="115">
        <v>1200</v>
      </c>
      <c r="U169" s="172">
        <v>2020</v>
      </c>
      <c r="V169" s="161" t="s">
        <v>621</v>
      </c>
      <c r="W169" s="166">
        <v>40</v>
      </c>
      <c r="X169" s="4"/>
      <c r="Z169" s="188">
        <v>2019</v>
      </c>
      <c r="AA169" s="173" t="s">
        <v>668</v>
      </c>
      <c r="AB169" s="180">
        <v>25</v>
      </c>
    </row>
    <row r="170" spans="2:29" x14ac:dyDescent="0.25">
      <c r="B170" s="91">
        <v>2019</v>
      </c>
      <c r="C170" s="45" t="s">
        <v>555</v>
      </c>
      <c r="D170" s="112">
        <v>56697</v>
      </c>
      <c r="U170" s="172">
        <v>2020</v>
      </c>
      <c r="V170" s="161" t="s">
        <v>623</v>
      </c>
      <c r="W170" s="166">
        <v>84826</v>
      </c>
      <c r="Z170" s="98">
        <v>2019</v>
      </c>
      <c r="AA170" s="176" t="s">
        <v>668</v>
      </c>
      <c r="AB170" s="179">
        <v>40</v>
      </c>
    </row>
    <row r="171" spans="2:29" x14ac:dyDescent="0.25">
      <c r="B171" s="91">
        <v>2020</v>
      </c>
      <c r="C171" s="45" t="s">
        <v>555</v>
      </c>
      <c r="D171" s="118">
        <v>350</v>
      </c>
      <c r="U171" s="192">
        <v>2020</v>
      </c>
      <c r="V171" s="174" t="s">
        <v>623</v>
      </c>
      <c r="W171" s="170">
        <v>10265</v>
      </c>
      <c r="Z171" s="98">
        <v>2019</v>
      </c>
      <c r="AA171" s="176" t="s">
        <v>668</v>
      </c>
      <c r="AB171" s="179">
        <v>50</v>
      </c>
    </row>
    <row r="172" spans="2:29" x14ac:dyDescent="0.25">
      <c r="B172" s="97">
        <v>2019</v>
      </c>
      <c r="C172" s="119" t="s">
        <v>701</v>
      </c>
      <c r="D172" s="112">
        <v>2000</v>
      </c>
      <c r="U172" s="165">
        <v>2020</v>
      </c>
      <c r="V172" s="161" t="s">
        <v>623</v>
      </c>
      <c r="W172" s="166">
        <v>8440</v>
      </c>
      <c r="Z172" s="172">
        <v>2019</v>
      </c>
      <c r="AA172" s="173" t="s">
        <v>668</v>
      </c>
      <c r="AB172" s="180">
        <v>30</v>
      </c>
    </row>
    <row r="173" spans="2:29" x14ac:dyDescent="0.25">
      <c r="B173" s="91">
        <v>2019</v>
      </c>
      <c r="C173" s="115" t="s">
        <v>701</v>
      </c>
      <c r="D173" s="115">
        <v>2000</v>
      </c>
      <c r="U173" s="98">
        <v>2020</v>
      </c>
      <c r="V173" s="207" t="s">
        <v>623</v>
      </c>
      <c r="W173" s="208">
        <v>10206.5</v>
      </c>
      <c r="Z173" s="165">
        <v>2019</v>
      </c>
      <c r="AA173" s="173" t="s">
        <v>668</v>
      </c>
      <c r="AB173" s="180">
        <v>8</v>
      </c>
      <c r="AC173">
        <v>153</v>
      </c>
    </row>
    <row r="174" spans="2:29" x14ac:dyDescent="0.25">
      <c r="B174" s="97">
        <v>2019</v>
      </c>
      <c r="C174" s="119" t="s">
        <v>701</v>
      </c>
      <c r="D174" s="112">
        <v>800</v>
      </c>
      <c r="U174" s="51">
        <v>2020</v>
      </c>
      <c r="V174" s="174" t="s">
        <v>623</v>
      </c>
      <c r="W174" s="170">
        <v>13198</v>
      </c>
      <c r="Z174" s="95">
        <v>2019</v>
      </c>
      <c r="AA174" s="176" t="s">
        <v>703</v>
      </c>
      <c r="AB174" s="179">
        <v>1.72364E-3</v>
      </c>
    </row>
    <row r="175" spans="2:29" x14ac:dyDescent="0.25">
      <c r="B175" s="96">
        <v>2017</v>
      </c>
      <c r="C175" s="119" t="s">
        <v>557</v>
      </c>
      <c r="D175" s="112">
        <v>2.903</v>
      </c>
      <c r="U175" s="188">
        <v>2020</v>
      </c>
      <c r="V175" s="171" t="s">
        <v>623</v>
      </c>
      <c r="W175" s="162">
        <v>16740</v>
      </c>
      <c r="X175" s="227">
        <f>Lentelė5[[#This Row],[suma]]+W174+W173+W172+W171+W170</f>
        <v>143675.5</v>
      </c>
      <c r="Z175" s="160">
        <v>2019</v>
      </c>
      <c r="AA175" s="173" t="s">
        <v>703</v>
      </c>
      <c r="AB175" s="180">
        <v>2.1998109999999999E-3</v>
      </c>
    </row>
    <row r="176" spans="2:29" x14ac:dyDescent="0.25">
      <c r="B176" s="95">
        <v>2018</v>
      </c>
      <c r="C176" s="111" t="s">
        <v>557</v>
      </c>
      <c r="D176" s="118">
        <v>0.60599999999999998</v>
      </c>
      <c r="U176" s="192">
        <v>2020</v>
      </c>
      <c r="V176" s="179" t="s">
        <v>625</v>
      </c>
      <c r="W176" s="179">
        <v>255.37</v>
      </c>
      <c r="Z176" s="97">
        <v>2019</v>
      </c>
      <c r="AA176" s="176" t="s">
        <v>703</v>
      </c>
      <c r="AB176" s="179">
        <v>1.2813779999999999E-3</v>
      </c>
    </row>
    <row r="177" spans="2:29" x14ac:dyDescent="0.25">
      <c r="B177" s="97">
        <v>2018</v>
      </c>
      <c r="C177" s="126" t="s">
        <v>557</v>
      </c>
      <c r="D177" s="128">
        <v>0.40400000000000003</v>
      </c>
      <c r="U177" s="188">
        <v>2020</v>
      </c>
      <c r="V177" s="180" t="s">
        <v>625</v>
      </c>
      <c r="W177" s="180">
        <v>0</v>
      </c>
      <c r="Z177" s="167">
        <v>2019</v>
      </c>
      <c r="AA177" s="183" t="s">
        <v>703</v>
      </c>
      <c r="AB177" s="180">
        <v>1.7041000000000001E-2</v>
      </c>
    </row>
    <row r="178" spans="2:29" x14ac:dyDescent="0.25">
      <c r="B178" s="95">
        <v>2019</v>
      </c>
      <c r="C178" s="45" t="s">
        <v>557</v>
      </c>
      <c r="D178" s="112">
        <v>0.65</v>
      </c>
      <c r="U178" s="51">
        <v>2020</v>
      </c>
      <c r="V178" s="179" t="s">
        <v>625</v>
      </c>
      <c r="W178" s="179">
        <v>0</v>
      </c>
      <c r="Z178" s="172">
        <v>2019</v>
      </c>
      <c r="AA178" s="180" t="s">
        <v>703</v>
      </c>
      <c r="AB178" s="183">
        <v>3.0999999999999999E-3</v>
      </c>
    </row>
    <row r="179" spans="2:29" x14ac:dyDescent="0.25">
      <c r="B179" s="95">
        <v>2019</v>
      </c>
      <c r="C179" s="111" t="s">
        <v>557</v>
      </c>
      <c r="D179" s="118">
        <v>0.32400000000000001</v>
      </c>
      <c r="U179" s="108">
        <v>2020</v>
      </c>
      <c r="V179" s="201" t="s">
        <v>642</v>
      </c>
      <c r="W179" s="202">
        <v>4533</v>
      </c>
      <c r="Z179" s="97">
        <v>2019</v>
      </c>
      <c r="AA179" s="179" t="s">
        <v>703</v>
      </c>
      <c r="AB179" s="179">
        <v>4.86E-4</v>
      </c>
      <c r="AC179">
        <f>Lentelė6[[#This Row],[suma]]+AB178+AB177+AB176+AB175+AB174</f>
        <v>2.5831828999999997E-2</v>
      </c>
    </row>
    <row r="180" spans="2:29" x14ac:dyDescent="0.25">
      <c r="B180" s="97">
        <v>2019</v>
      </c>
      <c r="C180" s="114" t="s">
        <v>557</v>
      </c>
      <c r="D180" s="118">
        <v>0.68799999999999994</v>
      </c>
      <c r="U180" s="203">
        <v>2020</v>
      </c>
      <c r="V180" s="204" t="s">
        <v>642</v>
      </c>
      <c r="W180" s="205">
        <v>2500</v>
      </c>
    </row>
    <row r="181" spans="2:29" x14ac:dyDescent="0.25">
      <c r="B181" s="92">
        <v>2019</v>
      </c>
      <c r="C181" s="114" t="s">
        <v>557</v>
      </c>
      <c r="D181" s="128">
        <v>0.19650000000000001</v>
      </c>
      <c r="U181" s="206">
        <v>2020</v>
      </c>
      <c r="V181" s="201" t="s">
        <v>642</v>
      </c>
      <c r="W181" s="202">
        <v>350</v>
      </c>
      <c r="X181">
        <v>7383</v>
      </c>
    </row>
    <row r="182" spans="2:29" x14ac:dyDescent="0.25">
      <c r="B182" s="92">
        <v>2019</v>
      </c>
      <c r="C182" s="114" t="s">
        <v>557</v>
      </c>
      <c r="D182" s="118">
        <v>0.3</v>
      </c>
      <c r="U182" s="102">
        <v>2020</v>
      </c>
      <c r="V182" s="176" t="s">
        <v>629</v>
      </c>
      <c r="W182" s="170">
        <v>1</v>
      </c>
    </row>
    <row r="183" spans="2:29" x14ac:dyDescent="0.25">
      <c r="B183" s="91">
        <v>2020</v>
      </c>
      <c r="C183" s="111" t="s">
        <v>557</v>
      </c>
      <c r="D183" s="112">
        <v>3.69</v>
      </c>
      <c r="U183" s="185">
        <v>2020</v>
      </c>
      <c r="V183" s="173" t="s">
        <v>629</v>
      </c>
      <c r="W183" s="162">
        <v>2</v>
      </c>
    </row>
    <row r="184" spans="2:29" x14ac:dyDescent="0.25">
      <c r="B184" s="91">
        <v>2020</v>
      </c>
      <c r="C184" s="114" t="s">
        <v>557</v>
      </c>
      <c r="D184" s="118">
        <v>3.69</v>
      </c>
      <c r="U184" s="172">
        <v>2020</v>
      </c>
      <c r="V184" s="173" t="s">
        <v>629</v>
      </c>
      <c r="W184" s="162">
        <v>1</v>
      </c>
    </row>
    <row r="185" spans="2:29" x14ac:dyDescent="0.25">
      <c r="B185" s="91">
        <v>2020</v>
      </c>
      <c r="C185" s="114" t="s">
        <v>557</v>
      </c>
      <c r="D185" s="112">
        <v>9.6349999999999998</v>
      </c>
      <c r="U185" s="98">
        <v>2020</v>
      </c>
      <c r="V185" s="179" t="s">
        <v>629</v>
      </c>
      <c r="W185" s="179"/>
      <c r="X185">
        <v>4</v>
      </c>
    </row>
    <row r="186" spans="2:29" x14ac:dyDescent="0.25">
      <c r="B186" s="91">
        <v>2020</v>
      </c>
      <c r="C186" s="114" t="s">
        <v>557</v>
      </c>
      <c r="D186" s="112">
        <v>0.49</v>
      </c>
      <c r="U186" s="105">
        <v>2020</v>
      </c>
      <c r="V186" s="140" t="s">
        <v>682</v>
      </c>
      <c r="W186" s="140">
        <v>20</v>
      </c>
    </row>
    <row r="187" spans="2:29" x14ac:dyDescent="0.25">
      <c r="B187" s="92">
        <v>2020</v>
      </c>
      <c r="C187" s="114" t="s">
        <v>557</v>
      </c>
      <c r="D187" s="128">
        <v>1.159</v>
      </c>
      <c r="U187" s="101">
        <v>2020</v>
      </c>
      <c r="V187" s="176" t="s">
        <v>682</v>
      </c>
      <c r="W187" s="176">
        <v>0</v>
      </c>
    </row>
    <row r="188" spans="2:29" x14ac:dyDescent="0.25">
      <c r="B188" s="92">
        <v>2020</v>
      </c>
      <c r="C188" s="114" t="s">
        <v>557</v>
      </c>
      <c r="D188" s="118">
        <v>0.15</v>
      </c>
      <c r="U188" s="101">
        <v>2020</v>
      </c>
      <c r="V188" s="140" t="s">
        <v>682</v>
      </c>
      <c r="W188" s="166">
        <v>56</v>
      </c>
    </row>
    <row r="189" spans="2:29" x14ac:dyDescent="0.25">
      <c r="B189" s="92">
        <v>2021</v>
      </c>
      <c r="C189" s="114" t="s">
        <v>557</v>
      </c>
      <c r="D189" s="118">
        <v>1.8</v>
      </c>
      <c r="U189" s="51">
        <v>2020</v>
      </c>
      <c r="V189" s="140" t="s">
        <v>682</v>
      </c>
      <c r="W189" s="164">
        <v>20</v>
      </c>
    </row>
    <row r="190" spans="2:29" x14ac:dyDescent="0.25">
      <c r="B190" s="94">
        <v>2021</v>
      </c>
      <c r="C190" s="114" t="s">
        <v>557</v>
      </c>
      <c r="D190" s="112">
        <v>1.1000000000000001</v>
      </c>
      <c r="U190" s="104">
        <v>2020</v>
      </c>
      <c r="V190" s="140" t="s">
        <v>682</v>
      </c>
      <c r="W190" s="166">
        <v>108</v>
      </c>
    </row>
    <row r="191" spans="2:29" x14ac:dyDescent="0.25">
      <c r="B191" s="94">
        <v>2023</v>
      </c>
      <c r="C191" s="45" t="s">
        <v>557</v>
      </c>
      <c r="D191" s="118">
        <v>2</v>
      </c>
      <c r="U191" s="104">
        <v>2020</v>
      </c>
      <c r="V191" s="140" t="s">
        <v>682</v>
      </c>
      <c r="W191" s="164">
        <v>34</v>
      </c>
      <c r="X191">
        <v>238</v>
      </c>
    </row>
    <row r="192" spans="2:29" x14ac:dyDescent="0.25">
      <c r="B192" s="47">
        <v>2018</v>
      </c>
      <c r="C192" s="111" t="s">
        <v>676</v>
      </c>
      <c r="D192" s="118">
        <v>0.4</v>
      </c>
      <c r="U192" s="51">
        <v>2020</v>
      </c>
      <c r="V192" s="169" t="s">
        <v>631</v>
      </c>
      <c r="W192" s="164">
        <v>2</v>
      </c>
    </row>
    <row r="193" spans="2:24" x14ac:dyDescent="0.25">
      <c r="B193" s="46">
        <v>2018</v>
      </c>
      <c r="C193" s="111" t="s">
        <v>676</v>
      </c>
      <c r="D193" s="118">
        <v>0.08</v>
      </c>
      <c r="U193" s="188">
        <v>2020</v>
      </c>
      <c r="V193" s="161" t="s">
        <v>631</v>
      </c>
      <c r="W193" s="166">
        <v>1</v>
      </c>
    </row>
    <row r="194" spans="2:24" x14ac:dyDescent="0.25">
      <c r="B194" s="46">
        <v>2018</v>
      </c>
      <c r="C194" s="111" t="s">
        <v>676</v>
      </c>
      <c r="D194" s="118">
        <v>8.2600000000000007E-2</v>
      </c>
      <c r="U194" s="51">
        <v>2020</v>
      </c>
      <c r="V194" s="169" t="s">
        <v>631</v>
      </c>
      <c r="W194" s="164">
        <v>2</v>
      </c>
      <c r="X194">
        <v>5</v>
      </c>
    </row>
    <row r="195" spans="2:24" x14ac:dyDescent="0.25">
      <c r="B195" s="91">
        <v>2018</v>
      </c>
      <c r="C195" s="114" t="s">
        <v>654</v>
      </c>
      <c r="D195" s="115">
        <v>732</v>
      </c>
      <c r="U195" s="188">
        <v>2020</v>
      </c>
      <c r="V195" s="161" t="s">
        <v>633</v>
      </c>
      <c r="W195" s="180">
        <v>70</v>
      </c>
    </row>
    <row r="196" spans="2:24" x14ac:dyDescent="0.25">
      <c r="B196" s="91">
        <v>2018</v>
      </c>
      <c r="C196" s="114" t="s">
        <v>654</v>
      </c>
      <c r="D196" s="115">
        <v>891</v>
      </c>
      <c r="U196" s="51">
        <v>2020</v>
      </c>
      <c r="V196" s="169" t="s">
        <v>633</v>
      </c>
      <c r="W196" s="179">
        <v>25</v>
      </c>
    </row>
    <row r="197" spans="2:24" x14ac:dyDescent="0.25">
      <c r="B197" s="91">
        <v>2019</v>
      </c>
      <c r="C197" s="114" t="s">
        <v>654</v>
      </c>
      <c r="D197" s="118">
        <v>762</v>
      </c>
      <c r="U197" s="188">
        <v>2020</v>
      </c>
      <c r="V197" s="161" t="s">
        <v>633</v>
      </c>
      <c r="W197" s="180">
        <v>30</v>
      </c>
      <c r="X197">
        <v>125</v>
      </c>
    </row>
    <row r="198" spans="2:24" x14ac:dyDescent="0.25">
      <c r="B198" s="102">
        <v>2019</v>
      </c>
      <c r="C198" s="45" t="s">
        <v>654</v>
      </c>
      <c r="D198" s="112">
        <v>500</v>
      </c>
      <c r="U198" s="51">
        <v>2020</v>
      </c>
      <c r="V198" s="209" t="s">
        <v>636</v>
      </c>
      <c r="W198" s="210">
        <v>1.86</v>
      </c>
    </row>
    <row r="199" spans="2:24" x14ac:dyDescent="0.25">
      <c r="B199" s="90">
        <v>2019</v>
      </c>
      <c r="C199" s="114" t="s">
        <v>654</v>
      </c>
      <c r="D199" s="118">
        <v>1</v>
      </c>
      <c r="U199" s="172">
        <v>2020</v>
      </c>
      <c r="V199" s="171" t="s">
        <v>638</v>
      </c>
      <c r="W199" s="180">
        <v>118</v>
      </c>
    </row>
    <row r="200" spans="2:24" x14ac:dyDescent="0.25">
      <c r="B200" s="103">
        <v>2019</v>
      </c>
      <c r="C200" s="140" t="s">
        <v>654</v>
      </c>
      <c r="D200" s="140">
        <v>200</v>
      </c>
      <c r="U200" s="98">
        <v>2020</v>
      </c>
      <c r="V200" s="176" t="s">
        <v>668</v>
      </c>
      <c r="W200" s="179">
        <v>78</v>
      </c>
    </row>
    <row r="201" spans="2:24" x14ac:dyDescent="0.25">
      <c r="B201" s="104">
        <v>2019</v>
      </c>
      <c r="C201" s="140" t="s">
        <v>654</v>
      </c>
      <c r="D201" s="140">
        <v>200</v>
      </c>
      <c r="U201" s="98">
        <v>2020</v>
      </c>
      <c r="V201" s="182" t="s">
        <v>703</v>
      </c>
      <c r="W201" s="182">
        <v>0.5</v>
      </c>
    </row>
    <row r="202" spans="2:24" x14ac:dyDescent="0.25">
      <c r="B202" s="105">
        <v>2019</v>
      </c>
      <c r="C202" s="140" t="s">
        <v>654</v>
      </c>
      <c r="D202" s="140">
        <v>225</v>
      </c>
      <c r="U202" s="172">
        <v>2020</v>
      </c>
      <c r="V202" s="180" t="s">
        <v>703</v>
      </c>
      <c r="W202" s="183">
        <v>0.34169498799999998</v>
      </c>
    </row>
    <row r="203" spans="2:24" x14ac:dyDescent="0.25">
      <c r="B203" s="101">
        <v>2019</v>
      </c>
      <c r="C203" s="114" t="s">
        <v>654</v>
      </c>
      <c r="D203" s="115">
        <v>550</v>
      </c>
      <c r="U203" s="98">
        <v>2020</v>
      </c>
      <c r="V203" s="179" t="s">
        <v>703</v>
      </c>
      <c r="W203" s="182">
        <v>0.09</v>
      </c>
    </row>
    <row r="204" spans="2:24" x14ac:dyDescent="0.25">
      <c r="B204" s="102">
        <v>2019</v>
      </c>
      <c r="C204" s="114" t="s">
        <v>654</v>
      </c>
      <c r="D204" s="115">
        <v>206</v>
      </c>
      <c r="U204" s="97">
        <v>2020</v>
      </c>
      <c r="V204" s="179" t="s">
        <v>703</v>
      </c>
      <c r="W204" s="179">
        <v>2.433E-4</v>
      </c>
    </row>
    <row r="205" spans="2:24" x14ac:dyDescent="0.25">
      <c r="B205" s="102">
        <v>2019</v>
      </c>
      <c r="C205" s="114" t="s">
        <v>654</v>
      </c>
      <c r="D205" s="115">
        <v>144</v>
      </c>
      <c r="U205" s="97">
        <v>2020</v>
      </c>
      <c r="V205" s="176" t="s">
        <v>703</v>
      </c>
      <c r="W205" s="179">
        <v>3.8284439999999999E-3</v>
      </c>
      <c r="X205">
        <f>Lentelė5[[#This Row],[suma]]+W204+W203+W202+W201</f>
        <v>0.93576673200000005</v>
      </c>
    </row>
    <row r="206" spans="2:24" x14ac:dyDescent="0.25">
      <c r="B206" s="91">
        <v>2020</v>
      </c>
      <c r="C206" s="114" t="s">
        <v>654</v>
      </c>
      <c r="D206" s="118">
        <v>473</v>
      </c>
      <c r="U206" s="51">
        <v>2020</v>
      </c>
      <c r="V206" s="174" t="s">
        <v>877</v>
      </c>
      <c r="W206" s="170">
        <v>1</v>
      </c>
    </row>
    <row r="207" spans="2:24" x14ac:dyDescent="0.25">
      <c r="B207" s="102">
        <v>2020</v>
      </c>
      <c r="C207" s="45" t="s">
        <v>654</v>
      </c>
      <c r="D207" s="112">
        <v>290</v>
      </c>
      <c r="U207" s="188">
        <v>2020</v>
      </c>
      <c r="V207" s="171" t="s">
        <v>878</v>
      </c>
      <c r="W207" s="162">
        <v>1</v>
      </c>
    </row>
    <row r="208" spans="2:24" x14ac:dyDescent="0.25">
      <c r="B208" s="90">
        <v>2020</v>
      </c>
      <c r="C208" s="114" t="s">
        <v>654</v>
      </c>
      <c r="D208" s="118">
        <v>180</v>
      </c>
      <c r="U208" s="51">
        <v>2020</v>
      </c>
      <c r="V208" s="174" t="s">
        <v>879</v>
      </c>
      <c r="W208" s="170">
        <v>1</v>
      </c>
    </row>
    <row r="209" spans="2:4" x14ac:dyDescent="0.25">
      <c r="B209" s="90">
        <v>2020</v>
      </c>
      <c r="C209" s="114" t="s">
        <v>654</v>
      </c>
      <c r="D209" s="118">
        <v>300</v>
      </c>
    </row>
    <row r="210" spans="2:4" x14ac:dyDescent="0.25">
      <c r="B210" s="90">
        <v>2020</v>
      </c>
      <c r="C210" s="114" t="s">
        <v>654</v>
      </c>
      <c r="D210" s="118">
        <v>531</v>
      </c>
    </row>
    <row r="211" spans="2:4" x14ac:dyDescent="0.25">
      <c r="B211" s="105">
        <v>2020</v>
      </c>
      <c r="C211" s="140" t="s">
        <v>654</v>
      </c>
      <c r="D211" s="140">
        <v>20</v>
      </c>
    </row>
    <row r="212" spans="2:4" x14ac:dyDescent="0.25">
      <c r="B212" s="101">
        <v>2020</v>
      </c>
      <c r="C212" s="140" t="s">
        <v>654</v>
      </c>
      <c r="D212" s="114">
        <v>180</v>
      </c>
    </row>
    <row r="213" spans="2:4" x14ac:dyDescent="0.25">
      <c r="B213" s="101">
        <v>2020</v>
      </c>
      <c r="C213" s="140" t="s">
        <v>654</v>
      </c>
      <c r="D213" s="112">
        <v>185</v>
      </c>
    </row>
    <row r="214" spans="2:4" x14ac:dyDescent="0.25">
      <c r="B214" s="46">
        <v>2020</v>
      </c>
      <c r="C214" s="45" t="s">
        <v>654</v>
      </c>
      <c r="D214" s="112">
        <v>1090</v>
      </c>
    </row>
    <row r="215" spans="2:4" x14ac:dyDescent="0.25">
      <c r="B215" s="46">
        <v>2020</v>
      </c>
      <c r="C215" s="140" t="s">
        <v>654</v>
      </c>
      <c r="D215" s="112">
        <v>192</v>
      </c>
    </row>
    <row r="216" spans="2:4" x14ac:dyDescent="0.25">
      <c r="B216" s="55">
        <v>2020</v>
      </c>
      <c r="C216" s="140" t="s">
        <v>654</v>
      </c>
      <c r="D216" s="112">
        <v>50</v>
      </c>
    </row>
    <row r="217" spans="2:4" x14ac:dyDescent="0.25">
      <c r="B217" s="55">
        <v>2020</v>
      </c>
      <c r="C217" s="140" t="s">
        <v>654</v>
      </c>
      <c r="D217" s="112">
        <v>104</v>
      </c>
    </row>
    <row r="218" spans="2:4" x14ac:dyDescent="0.25">
      <c r="B218" s="101">
        <v>2020</v>
      </c>
      <c r="C218" s="115" t="s">
        <v>654</v>
      </c>
      <c r="D218" s="113">
        <v>756</v>
      </c>
    </row>
    <row r="219" spans="2:4" x14ac:dyDescent="0.25">
      <c r="B219" s="55">
        <v>2020</v>
      </c>
      <c r="C219" s="115" t="s">
        <v>654</v>
      </c>
      <c r="D219" s="115">
        <v>480</v>
      </c>
    </row>
    <row r="220" spans="2:4" x14ac:dyDescent="0.25">
      <c r="B220" s="90">
        <v>2020</v>
      </c>
      <c r="C220" s="114" t="s">
        <v>654</v>
      </c>
      <c r="D220" s="118">
        <v>800</v>
      </c>
    </row>
    <row r="221" spans="2:4" x14ac:dyDescent="0.25">
      <c r="B221" s="102">
        <v>2020</v>
      </c>
      <c r="C221" s="114" t="s">
        <v>654</v>
      </c>
      <c r="D221" s="115">
        <v>650</v>
      </c>
    </row>
    <row r="222" spans="2:4" x14ac:dyDescent="0.25">
      <c r="B222" s="102">
        <v>2020</v>
      </c>
      <c r="C222" s="114" t="s">
        <v>654</v>
      </c>
      <c r="D222" s="115">
        <v>1700</v>
      </c>
    </row>
    <row r="223" spans="2:4" x14ac:dyDescent="0.25">
      <c r="B223" s="91">
        <v>2020</v>
      </c>
      <c r="C223" s="114" t="s">
        <v>654</v>
      </c>
      <c r="D223" s="115">
        <v>245</v>
      </c>
    </row>
    <row r="224" spans="2:4" x14ac:dyDescent="0.25">
      <c r="B224" s="102">
        <v>2021</v>
      </c>
      <c r="C224" s="45" t="s">
        <v>654</v>
      </c>
      <c r="D224" s="112">
        <v>250</v>
      </c>
    </row>
    <row r="225" spans="2:4" x14ac:dyDescent="0.25">
      <c r="B225" s="91">
        <v>2019</v>
      </c>
      <c r="C225" s="45" t="s">
        <v>559</v>
      </c>
      <c r="D225" s="112">
        <v>7200</v>
      </c>
    </row>
    <row r="226" spans="2:4" x14ac:dyDescent="0.25">
      <c r="B226" s="91">
        <v>2019</v>
      </c>
      <c r="C226" s="45" t="s">
        <v>559</v>
      </c>
      <c r="D226" s="112">
        <v>5410</v>
      </c>
    </row>
    <row r="227" spans="2:4" x14ac:dyDescent="0.25">
      <c r="B227" s="91">
        <v>2019</v>
      </c>
      <c r="C227" s="45" t="s">
        <v>559</v>
      </c>
      <c r="D227" s="112">
        <v>13510</v>
      </c>
    </row>
    <row r="228" spans="2:4" x14ac:dyDescent="0.25">
      <c r="B228" s="91">
        <v>2019</v>
      </c>
      <c r="C228" s="115" t="s">
        <v>559</v>
      </c>
      <c r="D228" s="115">
        <v>34904</v>
      </c>
    </row>
    <row r="229" spans="2:4" x14ac:dyDescent="0.25">
      <c r="B229" s="91">
        <v>2019</v>
      </c>
      <c r="C229" s="115" t="s">
        <v>559</v>
      </c>
      <c r="D229" s="115">
        <v>30041</v>
      </c>
    </row>
    <row r="230" spans="2:4" x14ac:dyDescent="0.25">
      <c r="B230" s="101">
        <v>2022</v>
      </c>
      <c r="C230" s="111" t="s">
        <v>559</v>
      </c>
      <c r="D230" s="112">
        <v>5000</v>
      </c>
    </row>
    <row r="231" spans="2:4" x14ac:dyDescent="0.25">
      <c r="B231" s="93">
        <v>2017</v>
      </c>
      <c r="C231" s="120" t="s">
        <v>561</v>
      </c>
      <c r="D231" s="112">
        <v>15858</v>
      </c>
    </row>
    <row r="232" spans="2:4" x14ac:dyDescent="0.25">
      <c r="B232" s="95">
        <v>2018</v>
      </c>
      <c r="C232" s="45" t="s">
        <v>561</v>
      </c>
      <c r="D232" s="112">
        <v>45254.62</v>
      </c>
    </row>
    <row r="233" spans="2:4" x14ac:dyDescent="0.25">
      <c r="B233" s="91">
        <v>2018</v>
      </c>
      <c r="C233" s="114" t="s">
        <v>561</v>
      </c>
      <c r="D233" s="118">
        <v>2025</v>
      </c>
    </row>
    <row r="234" spans="2:4" x14ac:dyDescent="0.25">
      <c r="B234" s="93">
        <v>2018</v>
      </c>
      <c r="C234" s="111" t="s">
        <v>561</v>
      </c>
      <c r="D234" s="118">
        <v>10246.01</v>
      </c>
    </row>
    <row r="235" spans="2:4" x14ac:dyDescent="0.25">
      <c r="B235" s="94">
        <v>2018</v>
      </c>
      <c r="C235" s="111" t="s">
        <v>561</v>
      </c>
      <c r="D235" s="118">
        <v>58156</v>
      </c>
    </row>
    <row r="236" spans="2:4" x14ac:dyDescent="0.25">
      <c r="B236" s="95">
        <v>2018</v>
      </c>
      <c r="C236" s="111" t="s">
        <v>561</v>
      </c>
      <c r="D236" s="118">
        <v>40001</v>
      </c>
    </row>
    <row r="237" spans="2:4" x14ac:dyDescent="0.25">
      <c r="B237" s="91">
        <v>2018</v>
      </c>
      <c r="C237" s="114" t="s">
        <v>561</v>
      </c>
      <c r="D237" s="118">
        <v>12000</v>
      </c>
    </row>
    <row r="238" spans="2:4" x14ac:dyDescent="0.25">
      <c r="B238" s="93">
        <v>2018</v>
      </c>
      <c r="C238" s="45" t="s">
        <v>561</v>
      </c>
      <c r="D238" s="118">
        <v>29432</v>
      </c>
    </row>
    <row r="239" spans="2:4" x14ac:dyDescent="0.25">
      <c r="B239" s="96">
        <v>2019</v>
      </c>
      <c r="C239" s="45" t="s">
        <v>561</v>
      </c>
      <c r="D239" s="118">
        <v>141600</v>
      </c>
    </row>
    <row r="240" spans="2:4" x14ac:dyDescent="0.25">
      <c r="B240" s="95">
        <v>2019</v>
      </c>
      <c r="C240" s="111" t="s">
        <v>561</v>
      </c>
      <c r="D240" s="121">
        <v>10015</v>
      </c>
    </row>
    <row r="241" spans="2:4" x14ac:dyDescent="0.25">
      <c r="B241" s="91">
        <v>2019</v>
      </c>
      <c r="C241" s="114" t="s">
        <v>561</v>
      </c>
      <c r="D241" s="118">
        <v>10000</v>
      </c>
    </row>
    <row r="242" spans="2:4" x14ac:dyDescent="0.25">
      <c r="B242" s="91">
        <v>2019</v>
      </c>
      <c r="C242" s="114" t="s">
        <v>561</v>
      </c>
      <c r="D242" s="118">
        <v>10000</v>
      </c>
    </row>
    <row r="243" spans="2:4" x14ac:dyDescent="0.25">
      <c r="B243" s="91">
        <v>2019</v>
      </c>
      <c r="C243" s="114" t="s">
        <v>561</v>
      </c>
      <c r="D243" s="118">
        <v>211000</v>
      </c>
    </row>
    <row r="244" spans="2:4" x14ac:dyDescent="0.25">
      <c r="B244" s="91">
        <v>2019</v>
      </c>
      <c r="C244" s="114" t="s">
        <v>561</v>
      </c>
      <c r="D244" s="118">
        <v>200000</v>
      </c>
    </row>
    <row r="245" spans="2:4" x14ac:dyDescent="0.25">
      <c r="B245" s="91">
        <v>2019</v>
      </c>
      <c r="C245" s="114" t="s">
        <v>561</v>
      </c>
      <c r="D245" s="118">
        <v>75829</v>
      </c>
    </row>
    <row r="246" spans="2:4" x14ac:dyDescent="0.25">
      <c r="B246" s="90">
        <v>2020</v>
      </c>
      <c r="C246" s="111" t="s">
        <v>561</v>
      </c>
      <c r="D246" s="112">
        <v>350000</v>
      </c>
    </row>
    <row r="247" spans="2:4" x14ac:dyDescent="0.25">
      <c r="B247" s="90">
        <v>2020</v>
      </c>
      <c r="C247" s="111" t="s">
        <v>561</v>
      </c>
      <c r="D247" s="112">
        <v>30000</v>
      </c>
    </row>
    <row r="248" spans="2:4" x14ac:dyDescent="0.25">
      <c r="B248" s="91">
        <v>2020</v>
      </c>
      <c r="C248" s="114" t="s">
        <v>561</v>
      </c>
      <c r="D248" s="118">
        <v>8821.7199999999993</v>
      </c>
    </row>
    <row r="249" spans="2:4" x14ac:dyDescent="0.25">
      <c r="B249" s="91">
        <v>2020</v>
      </c>
      <c r="C249" s="114" t="s">
        <v>561</v>
      </c>
      <c r="D249" s="118">
        <v>509851.88</v>
      </c>
    </row>
    <row r="250" spans="2:4" x14ac:dyDescent="0.25">
      <c r="B250" s="91">
        <v>2020</v>
      </c>
      <c r="C250" s="114" t="s">
        <v>561</v>
      </c>
      <c r="D250" s="118">
        <v>35000</v>
      </c>
    </row>
    <row r="251" spans="2:4" x14ac:dyDescent="0.25">
      <c r="B251" s="91">
        <v>2020</v>
      </c>
      <c r="C251" s="114" t="s">
        <v>561</v>
      </c>
      <c r="D251" s="118">
        <v>15200</v>
      </c>
    </row>
    <row r="252" spans="2:4" x14ac:dyDescent="0.25">
      <c r="B252" s="93">
        <v>2020</v>
      </c>
      <c r="C252" s="45" t="s">
        <v>561</v>
      </c>
      <c r="D252" s="121">
        <v>68477</v>
      </c>
    </row>
    <row r="253" spans="2:4" x14ac:dyDescent="0.25">
      <c r="B253" s="94">
        <v>2020</v>
      </c>
      <c r="C253" s="48" t="s">
        <v>561</v>
      </c>
      <c r="D253" s="115">
        <v>3534</v>
      </c>
    </row>
    <row r="254" spans="2:4" x14ac:dyDescent="0.25">
      <c r="B254" s="94">
        <v>2021</v>
      </c>
      <c r="C254" s="48" t="s">
        <v>561</v>
      </c>
      <c r="D254" s="113">
        <v>48650</v>
      </c>
    </row>
    <row r="255" spans="2:4" x14ac:dyDescent="0.25">
      <c r="B255" s="93">
        <v>2021</v>
      </c>
      <c r="C255" s="111" t="s">
        <v>561</v>
      </c>
      <c r="D255" s="118">
        <v>56350</v>
      </c>
    </row>
    <row r="256" spans="2:4" x14ac:dyDescent="0.25">
      <c r="B256" s="93">
        <v>2023</v>
      </c>
      <c r="C256" s="48" t="s">
        <v>561</v>
      </c>
      <c r="D256" s="118">
        <v>29000</v>
      </c>
    </row>
    <row r="257" spans="2:4" x14ac:dyDescent="0.25">
      <c r="B257" s="94">
        <v>2023</v>
      </c>
      <c r="C257" s="45" t="s">
        <v>561</v>
      </c>
      <c r="D257" s="118">
        <v>20000</v>
      </c>
    </row>
    <row r="258" spans="2:4" x14ac:dyDescent="0.25">
      <c r="B258" s="94">
        <v>2023</v>
      </c>
      <c r="C258" s="45" t="s">
        <v>561</v>
      </c>
      <c r="D258" s="118">
        <v>19419</v>
      </c>
    </row>
    <row r="259" spans="2:4" x14ac:dyDescent="0.25">
      <c r="B259" s="93">
        <v>2023</v>
      </c>
      <c r="C259" s="48" t="s">
        <v>561</v>
      </c>
      <c r="D259" s="115">
        <v>702</v>
      </c>
    </row>
    <row r="260" spans="2:4" x14ac:dyDescent="0.25">
      <c r="B260" s="92">
        <v>2015</v>
      </c>
      <c r="C260" s="45" t="s">
        <v>563</v>
      </c>
      <c r="D260" s="118">
        <v>3073</v>
      </c>
    </row>
    <row r="261" spans="2:4" x14ac:dyDescent="0.25">
      <c r="B261" s="91">
        <v>2019</v>
      </c>
      <c r="C261" s="114" t="s">
        <v>563</v>
      </c>
      <c r="D261" s="112">
        <v>5700</v>
      </c>
    </row>
    <row r="262" spans="2:4" x14ac:dyDescent="0.25">
      <c r="B262" s="91">
        <v>2019</v>
      </c>
      <c r="C262" s="114" t="s">
        <v>563</v>
      </c>
      <c r="D262" s="118">
        <v>5726</v>
      </c>
    </row>
    <row r="263" spans="2:4" x14ac:dyDescent="0.25">
      <c r="B263" s="91">
        <v>2019</v>
      </c>
      <c r="C263" s="114" t="s">
        <v>563</v>
      </c>
      <c r="D263" s="118">
        <v>2000</v>
      </c>
    </row>
    <row r="264" spans="2:4" x14ac:dyDescent="0.25">
      <c r="B264" s="95">
        <v>2019</v>
      </c>
      <c r="C264" s="113" t="s">
        <v>563</v>
      </c>
      <c r="D264" s="115">
        <v>794.02</v>
      </c>
    </row>
    <row r="265" spans="2:4" x14ac:dyDescent="0.25">
      <c r="B265" s="93">
        <v>2020</v>
      </c>
      <c r="C265" s="113" t="s">
        <v>563</v>
      </c>
      <c r="D265" s="115">
        <v>75</v>
      </c>
    </row>
    <row r="266" spans="2:4" x14ac:dyDescent="0.25">
      <c r="B266" s="94">
        <v>2020</v>
      </c>
      <c r="C266" s="45" t="s">
        <v>563</v>
      </c>
      <c r="D266" s="118">
        <v>147</v>
      </c>
    </row>
    <row r="267" spans="2:4" x14ac:dyDescent="0.25">
      <c r="B267" s="93">
        <v>2021</v>
      </c>
      <c r="C267" s="45" t="s">
        <v>563</v>
      </c>
      <c r="D267" s="118">
        <v>646</v>
      </c>
    </row>
    <row r="268" spans="2:4" x14ac:dyDescent="0.25">
      <c r="B268" s="93">
        <v>2023</v>
      </c>
      <c r="C268" s="45" t="s">
        <v>563</v>
      </c>
      <c r="D268" s="118">
        <v>494</v>
      </c>
    </row>
    <row r="269" spans="2:4" x14ac:dyDescent="0.25">
      <c r="B269" s="94">
        <v>2023</v>
      </c>
      <c r="C269" s="48" t="s">
        <v>563</v>
      </c>
      <c r="D269" s="115">
        <v>16</v>
      </c>
    </row>
    <row r="270" spans="2:4" ht="12.75" customHeight="1" x14ac:dyDescent="0.25">
      <c r="B270" s="98">
        <v>2019</v>
      </c>
      <c r="C270" s="115" t="s">
        <v>670</v>
      </c>
      <c r="D270" s="115">
        <v>100</v>
      </c>
    </row>
    <row r="271" spans="2:4" x14ac:dyDescent="0.25">
      <c r="B271" s="91">
        <v>2016</v>
      </c>
      <c r="C271" s="111" t="s">
        <v>567</v>
      </c>
      <c r="D271" s="157">
        <v>725</v>
      </c>
    </row>
    <row r="272" spans="2:4" x14ac:dyDescent="0.25">
      <c r="B272" s="46">
        <v>2017</v>
      </c>
      <c r="C272" s="114" t="s">
        <v>567</v>
      </c>
      <c r="D272" s="118">
        <v>131</v>
      </c>
    </row>
    <row r="273" spans="2:4" x14ac:dyDescent="0.25">
      <c r="B273" s="46">
        <v>2019</v>
      </c>
      <c r="C273" s="45" t="s">
        <v>567</v>
      </c>
      <c r="D273" s="118">
        <v>338</v>
      </c>
    </row>
    <row r="274" spans="2:4" x14ac:dyDescent="0.25">
      <c r="B274" s="46">
        <v>2019</v>
      </c>
      <c r="C274" s="111" t="s">
        <v>567</v>
      </c>
      <c r="D274" s="118">
        <v>877</v>
      </c>
    </row>
    <row r="275" spans="2:4" x14ac:dyDescent="0.25">
      <c r="B275" s="91">
        <v>2019</v>
      </c>
      <c r="C275" s="114" t="s">
        <v>567</v>
      </c>
      <c r="D275" s="118">
        <v>55</v>
      </c>
    </row>
    <row r="276" spans="2:4" x14ac:dyDescent="0.25">
      <c r="B276" s="91">
        <v>2019</v>
      </c>
      <c r="C276" s="111" t="s">
        <v>567</v>
      </c>
      <c r="D276" s="157">
        <v>332</v>
      </c>
    </row>
    <row r="277" spans="2:4" x14ac:dyDescent="0.25">
      <c r="B277" s="91">
        <v>2019</v>
      </c>
      <c r="C277" s="48" t="s">
        <v>567</v>
      </c>
      <c r="D277" s="155">
        <v>1231</v>
      </c>
    </row>
    <row r="278" spans="2:4" x14ac:dyDescent="0.25">
      <c r="B278" s="46">
        <v>2020</v>
      </c>
      <c r="C278" s="45" t="s">
        <v>567</v>
      </c>
      <c r="D278" s="118">
        <v>163</v>
      </c>
    </row>
    <row r="279" spans="2:4" x14ac:dyDescent="0.25">
      <c r="B279" s="92">
        <v>2020</v>
      </c>
      <c r="C279" s="111" t="s">
        <v>567</v>
      </c>
      <c r="D279" s="118">
        <v>5</v>
      </c>
    </row>
    <row r="280" spans="2:4" x14ac:dyDescent="0.25">
      <c r="B280" s="92">
        <v>2020</v>
      </c>
      <c r="C280" s="111" t="s">
        <v>567</v>
      </c>
      <c r="D280" s="118">
        <v>0</v>
      </c>
    </row>
    <row r="281" spans="2:4" x14ac:dyDescent="0.25">
      <c r="B281" s="46">
        <v>2020</v>
      </c>
      <c r="C281" s="45" t="s">
        <v>567</v>
      </c>
      <c r="D281" s="118">
        <v>748</v>
      </c>
    </row>
    <row r="282" spans="2:4" x14ac:dyDescent="0.25">
      <c r="B282" s="46">
        <v>2020</v>
      </c>
      <c r="C282" s="114" t="s">
        <v>567</v>
      </c>
      <c r="D282" s="118">
        <v>672</v>
      </c>
    </row>
    <row r="283" spans="2:4" x14ac:dyDescent="0.25">
      <c r="B283" s="91">
        <v>2021</v>
      </c>
      <c r="C283" s="114" t="s">
        <v>567</v>
      </c>
      <c r="D283" s="118">
        <v>323</v>
      </c>
    </row>
    <row r="284" spans="2:4" x14ac:dyDescent="0.25">
      <c r="B284" s="92">
        <v>2019</v>
      </c>
      <c r="C284" s="114" t="s">
        <v>569</v>
      </c>
      <c r="D284" s="118">
        <v>167</v>
      </c>
    </row>
    <row r="285" spans="2:4" x14ac:dyDescent="0.25">
      <c r="B285" s="92">
        <v>2019</v>
      </c>
      <c r="C285" s="114" t="s">
        <v>569</v>
      </c>
      <c r="D285" s="118">
        <v>105</v>
      </c>
    </row>
    <row r="286" spans="2:4" x14ac:dyDescent="0.25">
      <c r="B286" s="92">
        <v>2019</v>
      </c>
      <c r="C286" s="114" t="s">
        <v>569</v>
      </c>
      <c r="D286" s="118">
        <v>1323</v>
      </c>
    </row>
    <row r="287" spans="2:4" x14ac:dyDescent="0.25">
      <c r="B287" s="92">
        <v>2019</v>
      </c>
      <c r="C287" s="114" t="s">
        <v>569</v>
      </c>
      <c r="D287" s="118">
        <v>890</v>
      </c>
    </row>
    <row r="288" spans="2:4" x14ac:dyDescent="0.25">
      <c r="B288" s="46">
        <v>2019</v>
      </c>
      <c r="C288" s="113" t="s">
        <v>569</v>
      </c>
      <c r="D288" s="115">
        <v>2285</v>
      </c>
    </row>
    <row r="289" spans="2:4" x14ac:dyDescent="0.25">
      <c r="B289" s="91">
        <v>2021</v>
      </c>
      <c r="C289" s="114" t="s">
        <v>569</v>
      </c>
      <c r="D289" s="157">
        <v>7452</v>
      </c>
    </row>
    <row r="290" spans="2:4" x14ac:dyDescent="0.25">
      <c r="B290" s="91">
        <v>2021</v>
      </c>
      <c r="C290" s="114" t="s">
        <v>569</v>
      </c>
      <c r="D290" s="157">
        <v>400</v>
      </c>
    </row>
    <row r="291" spans="2:4" x14ac:dyDescent="0.25">
      <c r="B291" s="91">
        <v>2016</v>
      </c>
      <c r="C291" s="115" t="s">
        <v>571</v>
      </c>
      <c r="D291" s="113">
        <v>1012</v>
      </c>
    </row>
    <row r="292" spans="2:4" x14ac:dyDescent="0.25">
      <c r="B292" s="46">
        <v>2017</v>
      </c>
      <c r="C292" s="115" t="s">
        <v>571</v>
      </c>
      <c r="D292" s="115">
        <v>478</v>
      </c>
    </row>
    <row r="293" spans="2:4" x14ac:dyDescent="0.25">
      <c r="B293" s="46">
        <v>2019</v>
      </c>
      <c r="C293" s="48" t="s">
        <v>571</v>
      </c>
      <c r="D293" s="115">
        <v>778</v>
      </c>
    </row>
    <row r="294" spans="2:4" x14ac:dyDescent="0.25">
      <c r="B294" s="91">
        <v>2019</v>
      </c>
      <c r="C294" s="115" t="s">
        <v>571</v>
      </c>
      <c r="D294" s="115">
        <v>114</v>
      </c>
    </row>
    <row r="295" spans="2:4" x14ac:dyDescent="0.25">
      <c r="B295" s="46">
        <v>2019</v>
      </c>
      <c r="C295" s="115" t="s">
        <v>571</v>
      </c>
      <c r="D295" s="115">
        <v>536</v>
      </c>
    </row>
    <row r="296" spans="2:4" x14ac:dyDescent="0.25">
      <c r="B296" s="91">
        <v>2019</v>
      </c>
      <c r="C296" s="113" t="s">
        <v>571</v>
      </c>
      <c r="D296" s="113">
        <v>551</v>
      </c>
    </row>
    <row r="297" spans="2:4" x14ac:dyDescent="0.25">
      <c r="B297" s="46">
        <v>2019</v>
      </c>
      <c r="C297" s="115" t="s">
        <v>571</v>
      </c>
      <c r="D297" s="118">
        <v>1265</v>
      </c>
    </row>
    <row r="298" spans="2:4" x14ac:dyDescent="0.25">
      <c r="B298" s="91">
        <v>2019</v>
      </c>
      <c r="C298" s="48" t="s">
        <v>571</v>
      </c>
      <c r="D298" s="115">
        <v>1812</v>
      </c>
    </row>
    <row r="299" spans="2:4" x14ac:dyDescent="0.25">
      <c r="B299" s="92">
        <v>2020</v>
      </c>
      <c r="C299" s="114" t="s">
        <v>571</v>
      </c>
      <c r="D299" s="118">
        <v>110</v>
      </c>
    </row>
    <row r="300" spans="2:4" x14ac:dyDescent="0.25">
      <c r="B300" s="46">
        <v>2020</v>
      </c>
      <c r="C300" s="48" t="s">
        <v>571</v>
      </c>
      <c r="D300" s="115">
        <v>51</v>
      </c>
    </row>
    <row r="301" spans="2:4" x14ac:dyDescent="0.25">
      <c r="B301" s="92">
        <v>2020</v>
      </c>
      <c r="C301" s="115" t="s">
        <v>571</v>
      </c>
      <c r="D301" s="115">
        <v>107</v>
      </c>
    </row>
    <row r="302" spans="2:4" x14ac:dyDescent="0.25">
      <c r="B302" s="92">
        <v>2020</v>
      </c>
      <c r="C302" s="115" t="s">
        <v>571</v>
      </c>
      <c r="D302" s="115">
        <v>288</v>
      </c>
    </row>
    <row r="303" spans="2:4" x14ac:dyDescent="0.25">
      <c r="B303" s="46">
        <v>2020</v>
      </c>
      <c r="C303" s="48" t="s">
        <v>571</v>
      </c>
      <c r="D303" s="115">
        <v>748</v>
      </c>
    </row>
    <row r="304" spans="2:4" x14ac:dyDescent="0.25">
      <c r="B304" s="46">
        <v>2020</v>
      </c>
      <c r="C304" s="115" t="s">
        <v>571</v>
      </c>
      <c r="D304" s="115">
        <v>744</v>
      </c>
    </row>
    <row r="305" spans="2:4" x14ac:dyDescent="0.25">
      <c r="B305" s="91">
        <v>2021</v>
      </c>
      <c r="C305" s="115" t="s">
        <v>571</v>
      </c>
      <c r="D305" s="115">
        <v>416</v>
      </c>
    </row>
    <row r="306" spans="2:4" x14ac:dyDescent="0.25">
      <c r="B306" s="91">
        <v>2019</v>
      </c>
      <c r="C306" s="113" t="s">
        <v>573</v>
      </c>
      <c r="D306" s="113">
        <v>285</v>
      </c>
    </row>
    <row r="307" spans="2:4" x14ac:dyDescent="0.25">
      <c r="B307" s="46">
        <v>2019</v>
      </c>
      <c r="C307" s="113" t="s">
        <v>573</v>
      </c>
      <c r="D307" s="115">
        <v>422</v>
      </c>
    </row>
    <row r="308" spans="2:4" x14ac:dyDescent="0.25">
      <c r="B308" s="91">
        <v>2019</v>
      </c>
      <c r="C308" s="45" t="s">
        <v>573</v>
      </c>
      <c r="D308" s="156">
        <v>308292</v>
      </c>
    </row>
    <row r="309" spans="2:4" x14ac:dyDescent="0.25">
      <c r="B309" s="92">
        <v>2020</v>
      </c>
      <c r="C309" s="114" t="s">
        <v>573</v>
      </c>
      <c r="D309" s="118">
        <v>468</v>
      </c>
    </row>
    <row r="310" spans="2:4" x14ac:dyDescent="0.25">
      <c r="B310" s="92">
        <v>2020</v>
      </c>
      <c r="C310" s="114" t="s">
        <v>573</v>
      </c>
      <c r="D310" s="118">
        <v>1976</v>
      </c>
    </row>
    <row r="311" spans="2:4" x14ac:dyDescent="0.25">
      <c r="B311" s="92">
        <v>2020</v>
      </c>
      <c r="C311" s="114" t="s">
        <v>573</v>
      </c>
      <c r="D311" s="118">
        <v>238</v>
      </c>
    </row>
    <row r="312" spans="2:4" x14ac:dyDescent="0.25">
      <c r="B312" s="92">
        <v>2020</v>
      </c>
      <c r="C312" s="114" t="s">
        <v>573</v>
      </c>
      <c r="D312" s="118">
        <v>506</v>
      </c>
    </row>
    <row r="313" spans="2:4" x14ac:dyDescent="0.25">
      <c r="B313" s="46">
        <v>2020</v>
      </c>
      <c r="C313" s="45" t="s">
        <v>573</v>
      </c>
      <c r="D313" s="115">
        <v>748</v>
      </c>
    </row>
    <row r="314" spans="2:4" x14ac:dyDescent="0.25">
      <c r="B314" s="46">
        <v>2020</v>
      </c>
      <c r="C314" s="114" t="s">
        <v>573</v>
      </c>
      <c r="D314" s="115">
        <v>425</v>
      </c>
    </row>
    <row r="315" spans="2:4" x14ac:dyDescent="0.25">
      <c r="B315" s="46">
        <v>2021</v>
      </c>
      <c r="C315" s="114" t="s">
        <v>573</v>
      </c>
      <c r="D315" s="118">
        <v>3200</v>
      </c>
    </row>
    <row r="316" spans="2:4" x14ac:dyDescent="0.25">
      <c r="B316" s="91">
        <v>2021</v>
      </c>
      <c r="C316" s="45" t="s">
        <v>573</v>
      </c>
      <c r="D316" s="157">
        <v>400</v>
      </c>
    </row>
    <row r="317" spans="2:4" x14ac:dyDescent="0.25">
      <c r="B317" s="91">
        <v>2019</v>
      </c>
      <c r="C317" s="45" t="s">
        <v>869</v>
      </c>
      <c r="D317" s="112">
        <v>5</v>
      </c>
    </row>
    <row r="318" spans="2:4" x14ac:dyDescent="0.25">
      <c r="B318" s="91">
        <v>2018</v>
      </c>
      <c r="C318" s="45" t="s">
        <v>577</v>
      </c>
      <c r="D318" s="118">
        <v>1</v>
      </c>
    </row>
    <row r="319" spans="2:4" x14ac:dyDescent="0.25">
      <c r="B319" s="91">
        <v>2019</v>
      </c>
      <c r="C319" s="45" t="s">
        <v>577</v>
      </c>
      <c r="D319" s="118">
        <v>2</v>
      </c>
    </row>
    <row r="320" spans="2:4" x14ac:dyDescent="0.25">
      <c r="B320" s="91">
        <v>2019</v>
      </c>
      <c r="C320" s="45" t="s">
        <v>577</v>
      </c>
      <c r="D320" s="118">
        <v>3</v>
      </c>
    </row>
    <row r="321" spans="2:4" x14ac:dyDescent="0.25">
      <c r="B321" s="47">
        <v>2018</v>
      </c>
      <c r="C321" s="111" t="s">
        <v>579</v>
      </c>
      <c r="D321" s="118">
        <v>27</v>
      </c>
    </row>
    <row r="322" spans="2:4" x14ac:dyDescent="0.25">
      <c r="B322" s="46">
        <v>2018</v>
      </c>
      <c r="C322" s="115" t="s">
        <v>579</v>
      </c>
      <c r="D322" s="113">
        <v>38</v>
      </c>
    </row>
    <row r="323" spans="2:4" x14ac:dyDescent="0.25">
      <c r="B323" s="46">
        <v>2020</v>
      </c>
      <c r="C323" s="159" t="s">
        <v>680</v>
      </c>
      <c r="D323" s="152">
        <v>2</v>
      </c>
    </row>
    <row r="324" spans="2:4" x14ac:dyDescent="0.25">
      <c r="B324" s="47">
        <v>2018</v>
      </c>
      <c r="C324" s="115" t="s">
        <v>678</v>
      </c>
      <c r="D324" s="115">
        <v>1</v>
      </c>
    </row>
    <row r="325" spans="2:4" x14ac:dyDescent="0.25">
      <c r="B325" s="46">
        <v>2018</v>
      </c>
      <c r="C325" s="115" t="s">
        <v>678</v>
      </c>
      <c r="D325" s="115">
        <v>2</v>
      </c>
    </row>
    <row r="326" spans="2:4" x14ac:dyDescent="0.25">
      <c r="B326" s="46">
        <v>2018</v>
      </c>
      <c r="C326" s="115" t="s">
        <v>678</v>
      </c>
      <c r="D326" s="115">
        <v>1</v>
      </c>
    </row>
    <row r="327" spans="2:4" x14ac:dyDescent="0.25">
      <c r="B327" s="102">
        <v>2018</v>
      </c>
      <c r="C327" s="115" t="s">
        <v>672</v>
      </c>
      <c r="D327" s="115">
        <v>1</v>
      </c>
    </row>
    <row r="328" spans="2:4" x14ac:dyDescent="0.25">
      <c r="B328" s="102">
        <v>2018</v>
      </c>
      <c r="C328" s="114" t="s">
        <v>674</v>
      </c>
      <c r="D328" s="115">
        <v>1</v>
      </c>
    </row>
    <row r="329" spans="2:4" x14ac:dyDescent="0.25">
      <c r="B329" s="92">
        <v>2017</v>
      </c>
      <c r="C329" s="119" t="s">
        <v>581</v>
      </c>
      <c r="D329" s="112">
        <v>1</v>
      </c>
    </row>
    <row r="330" spans="2:4" x14ac:dyDescent="0.25">
      <c r="B330" s="91">
        <v>2017</v>
      </c>
      <c r="C330" s="45" t="s">
        <v>581</v>
      </c>
      <c r="D330" s="112">
        <v>1</v>
      </c>
    </row>
    <row r="331" spans="2:4" x14ac:dyDescent="0.25">
      <c r="B331" s="95">
        <v>2018</v>
      </c>
      <c r="C331" s="45" t="s">
        <v>581</v>
      </c>
      <c r="D331" s="118">
        <v>1</v>
      </c>
    </row>
    <row r="332" spans="2:4" x14ac:dyDescent="0.25">
      <c r="B332" s="95">
        <v>2018</v>
      </c>
      <c r="C332" s="45" t="s">
        <v>581</v>
      </c>
      <c r="D332" s="118">
        <v>1</v>
      </c>
    </row>
    <row r="333" spans="2:4" x14ac:dyDescent="0.25">
      <c r="B333" s="93">
        <v>2018</v>
      </c>
      <c r="C333" s="111" t="s">
        <v>581</v>
      </c>
      <c r="D333" s="118">
        <v>1</v>
      </c>
    </row>
    <row r="334" spans="2:4" x14ac:dyDescent="0.25">
      <c r="B334" s="91">
        <v>2018</v>
      </c>
      <c r="C334" s="114" t="s">
        <v>581</v>
      </c>
      <c r="D334" s="118">
        <v>1</v>
      </c>
    </row>
    <row r="335" spans="2:4" x14ac:dyDescent="0.25">
      <c r="B335" s="91">
        <v>2018</v>
      </c>
      <c r="C335" s="114" t="s">
        <v>581</v>
      </c>
      <c r="D335" s="118">
        <v>1</v>
      </c>
    </row>
    <row r="336" spans="2:4" x14ac:dyDescent="0.25">
      <c r="B336" s="94">
        <v>2019</v>
      </c>
      <c r="C336" s="45" t="s">
        <v>581</v>
      </c>
      <c r="D336" s="118">
        <v>1</v>
      </c>
    </row>
    <row r="337" spans="2:4" x14ac:dyDescent="0.25">
      <c r="B337" s="91">
        <v>2019</v>
      </c>
      <c r="C337" s="114" t="s">
        <v>581</v>
      </c>
      <c r="D337" s="118">
        <v>1</v>
      </c>
    </row>
    <row r="338" spans="2:4" x14ac:dyDescent="0.25">
      <c r="B338" s="91">
        <v>2019</v>
      </c>
      <c r="C338" s="114" t="s">
        <v>581</v>
      </c>
      <c r="D338" s="118">
        <v>1</v>
      </c>
    </row>
    <row r="339" spans="2:4" x14ac:dyDescent="0.25">
      <c r="B339" s="91">
        <v>2019</v>
      </c>
      <c r="C339" s="114" t="s">
        <v>581</v>
      </c>
      <c r="D339" s="118">
        <v>1</v>
      </c>
    </row>
    <row r="340" spans="2:4" x14ac:dyDescent="0.25">
      <c r="B340" s="91">
        <v>2020</v>
      </c>
      <c r="C340" s="114" t="s">
        <v>581</v>
      </c>
      <c r="D340" s="118">
        <v>1</v>
      </c>
    </row>
    <row r="341" spans="2:4" x14ac:dyDescent="0.25">
      <c r="B341" s="91">
        <v>2020</v>
      </c>
      <c r="C341" s="45" t="s">
        <v>581</v>
      </c>
      <c r="D341" s="112">
        <v>1</v>
      </c>
    </row>
    <row r="342" spans="2:4" x14ac:dyDescent="0.25">
      <c r="B342" s="46">
        <v>2020</v>
      </c>
      <c r="C342" s="111" t="s">
        <v>581</v>
      </c>
      <c r="D342" s="118">
        <v>1</v>
      </c>
    </row>
    <row r="343" spans="2:4" x14ac:dyDescent="0.25">
      <c r="B343" s="91">
        <v>2020</v>
      </c>
      <c r="C343" s="114" t="s">
        <v>581</v>
      </c>
      <c r="D343" s="118">
        <v>1</v>
      </c>
    </row>
    <row r="344" spans="2:4" x14ac:dyDescent="0.25">
      <c r="B344" s="96">
        <v>2017</v>
      </c>
      <c r="C344" s="119" t="s">
        <v>871</v>
      </c>
      <c r="D344" s="112">
        <v>1</v>
      </c>
    </row>
    <row r="345" spans="2:4" x14ac:dyDescent="0.25">
      <c r="B345" s="91">
        <v>2017</v>
      </c>
      <c r="C345" s="119" t="s">
        <v>871</v>
      </c>
      <c r="D345" s="112">
        <v>1</v>
      </c>
    </row>
    <row r="346" spans="2:4" x14ac:dyDescent="0.25">
      <c r="B346" s="91">
        <v>2018</v>
      </c>
      <c r="C346" s="119" t="s">
        <v>871</v>
      </c>
      <c r="D346" s="112">
        <v>1</v>
      </c>
    </row>
    <row r="347" spans="2:4" x14ac:dyDescent="0.25">
      <c r="B347" s="91">
        <v>2019</v>
      </c>
      <c r="C347" s="114" t="s">
        <v>660</v>
      </c>
      <c r="D347" s="112">
        <v>0.5</v>
      </c>
    </row>
    <row r="348" spans="2:4" x14ac:dyDescent="0.25">
      <c r="B348" s="91">
        <v>2019</v>
      </c>
      <c r="C348" s="48" t="s">
        <v>583</v>
      </c>
      <c r="D348" s="113">
        <v>3914</v>
      </c>
    </row>
    <row r="349" spans="2:4" x14ac:dyDescent="0.25">
      <c r="B349" s="91">
        <v>2019</v>
      </c>
      <c r="C349" s="48" t="s">
        <v>583</v>
      </c>
      <c r="D349" s="113">
        <v>5410</v>
      </c>
    </row>
    <row r="350" spans="2:4" x14ac:dyDescent="0.25">
      <c r="B350" s="91">
        <v>2019</v>
      </c>
      <c r="C350" s="48" t="s">
        <v>583</v>
      </c>
      <c r="D350" s="113">
        <v>13510</v>
      </c>
    </row>
    <row r="351" spans="2:4" x14ac:dyDescent="0.25">
      <c r="B351" s="53">
        <v>2020</v>
      </c>
      <c r="C351" s="111" t="s">
        <v>583</v>
      </c>
      <c r="D351" s="118">
        <v>10000</v>
      </c>
    </row>
    <row r="352" spans="2:4" x14ac:dyDescent="0.25">
      <c r="B352" s="91">
        <v>2020</v>
      </c>
      <c r="C352" s="45" t="s">
        <v>583</v>
      </c>
      <c r="D352" s="118">
        <v>200</v>
      </c>
    </row>
    <row r="353" spans="2:4" x14ac:dyDescent="0.25">
      <c r="B353" s="101">
        <v>2022</v>
      </c>
      <c r="C353" s="113" t="s">
        <v>583</v>
      </c>
      <c r="D353" s="113">
        <v>5000</v>
      </c>
    </row>
    <row r="354" spans="2:4" x14ac:dyDescent="0.25">
      <c r="B354" s="91">
        <v>2021</v>
      </c>
      <c r="C354" s="45" t="s">
        <v>589</v>
      </c>
      <c r="D354" s="118">
        <v>66</v>
      </c>
    </row>
    <row r="355" spans="2:4" x14ac:dyDescent="0.25">
      <c r="B355" s="91">
        <v>2022</v>
      </c>
      <c r="C355" s="45" t="s">
        <v>589</v>
      </c>
      <c r="D355" s="118">
        <v>26</v>
      </c>
    </row>
    <row r="356" spans="2:4" x14ac:dyDescent="0.25">
      <c r="B356" s="91">
        <v>2022</v>
      </c>
      <c r="C356" s="45" t="s">
        <v>589</v>
      </c>
      <c r="D356" s="118">
        <v>26</v>
      </c>
    </row>
    <row r="357" spans="2:4" x14ac:dyDescent="0.25">
      <c r="B357" s="91">
        <v>2022</v>
      </c>
      <c r="C357" s="45" t="s">
        <v>589</v>
      </c>
      <c r="D357" s="118">
        <v>44</v>
      </c>
    </row>
    <row r="358" spans="2:4" x14ac:dyDescent="0.25">
      <c r="B358" s="91">
        <v>2022</v>
      </c>
      <c r="C358" s="45" t="s">
        <v>589</v>
      </c>
      <c r="D358" s="118">
        <v>61</v>
      </c>
    </row>
    <row r="359" spans="2:4" x14ac:dyDescent="0.25">
      <c r="B359" s="91">
        <v>2022</v>
      </c>
      <c r="C359" s="45" t="s">
        <v>589</v>
      </c>
      <c r="D359" s="118">
        <v>177</v>
      </c>
    </row>
    <row r="360" spans="2:4" x14ac:dyDescent="0.25">
      <c r="B360" s="91">
        <v>2022</v>
      </c>
      <c r="C360" s="45" t="s">
        <v>589</v>
      </c>
      <c r="D360" s="118">
        <v>54</v>
      </c>
    </row>
    <row r="361" spans="2:4" x14ac:dyDescent="0.25">
      <c r="B361" s="103">
        <v>2019</v>
      </c>
      <c r="C361" s="56" t="s">
        <v>591</v>
      </c>
      <c r="D361" s="145">
        <v>1</v>
      </c>
    </row>
    <row r="362" spans="2:4" x14ac:dyDescent="0.25">
      <c r="B362" s="104">
        <v>2019</v>
      </c>
      <c r="C362" s="56" t="s">
        <v>591</v>
      </c>
      <c r="D362" s="145">
        <v>1</v>
      </c>
    </row>
    <row r="363" spans="2:4" x14ac:dyDescent="0.25">
      <c r="B363" s="105">
        <v>2019</v>
      </c>
      <c r="C363" s="56" t="s">
        <v>591</v>
      </c>
      <c r="D363" s="145">
        <v>1</v>
      </c>
    </row>
    <row r="364" spans="2:4" x14ac:dyDescent="0.25">
      <c r="B364" s="102">
        <v>2019</v>
      </c>
      <c r="C364" s="115" t="s">
        <v>591</v>
      </c>
      <c r="D364" s="115">
        <v>1</v>
      </c>
    </row>
    <row r="365" spans="2:4" x14ac:dyDescent="0.25">
      <c r="B365" s="102">
        <v>2019</v>
      </c>
      <c r="C365" s="115" t="s">
        <v>591</v>
      </c>
      <c r="D365" s="115">
        <v>1</v>
      </c>
    </row>
    <row r="366" spans="2:4" x14ac:dyDescent="0.25">
      <c r="B366" s="105">
        <v>2020</v>
      </c>
      <c r="C366" s="56" t="s">
        <v>591</v>
      </c>
      <c r="D366" s="145">
        <v>1</v>
      </c>
    </row>
    <row r="367" spans="2:4" x14ac:dyDescent="0.25">
      <c r="B367" s="101">
        <v>2020</v>
      </c>
      <c r="C367" s="45" t="s">
        <v>591</v>
      </c>
      <c r="D367" s="118">
        <v>1</v>
      </c>
    </row>
    <row r="368" spans="2:4" x14ac:dyDescent="0.25">
      <c r="B368" s="101">
        <v>2020</v>
      </c>
      <c r="C368" s="111" t="s">
        <v>591</v>
      </c>
      <c r="D368" s="112">
        <v>1</v>
      </c>
    </row>
    <row r="369" spans="2:4" x14ac:dyDescent="0.25">
      <c r="B369" s="46">
        <v>2020</v>
      </c>
      <c r="C369" s="111" t="s">
        <v>591</v>
      </c>
      <c r="D369" s="118">
        <v>1</v>
      </c>
    </row>
    <row r="370" spans="2:4" x14ac:dyDescent="0.25">
      <c r="B370" s="55">
        <v>2020</v>
      </c>
      <c r="C370" s="56" t="s">
        <v>591</v>
      </c>
      <c r="D370" s="112">
        <v>1</v>
      </c>
    </row>
    <row r="371" spans="2:4" x14ac:dyDescent="0.25">
      <c r="B371" s="55">
        <v>2020</v>
      </c>
      <c r="C371" s="56" t="s">
        <v>591</v>
      </c>
      <c r="D371" s="112">
        <v>1</v>
      </c>
    </row>
    <row r="372" spans="2:4" x14ac:dyDescent="0.25">
      <c r="B372" s="102">
        <v>2019</v>
      </c>
      <c r="C372" s="115" t="s">
        <v>694</v>
      </c>
      <c r="D372" s="115">
        <v>1</v>
      </c>
    </row>
    <row r="373" spans="2:4" x14ac:dyDescent="0.25">
      <c r="B373" s="102">
        <v>2020</v>
      </c>
      <c r="C373" s="115" t="s">
        <v>694</v>
      </c>
      <c r="D373" s="115">
        <v>1</v>
      </c>
    </row>
    <row r="374" spans="2:4" x14ac:dyDescent="0.25">
      <c r="B374" s="102">
        <v>2021</v>
      </c>
      <c r="C374" s="115" t="s">
        <v>694</v>
      </c>
      <c r="D374" s="115">
        <v>1</v>
      </c>
    </row>
    <row r="375" spans="2:4" x14ac:dyDescent="0.25">
      <c r="B375" s="101">
        <v>2019</v>
      </c>
      <c r="C375" s="111" t="s">
        <v>593</v>
      </c>
      <c r="D375" s="112">
        <v>1</v>
      </c>
    </row>
    <row r="376" spans="2:4" x14ac:dyDescent="0.25">
      <c r="B376" s="91">
        <v>2019</v>
      </c>
      <c r="C376" s="115" t="s">
        <v>593</v>
      </c>
      <c r="D376" s="115">
        <v>1</v>
      </c>
    </row>
    <row r="377" spans="2:4" x14ac:dyDescent="0.25">
      <c r="B377" s="91">
        <v>2020</v>
      </c>
      <c r="C377" s="114" t="s">
        <v>593</v>
      </c>
      <c r="D377" s="118">
        <v>1</v>
      </c>
    </row>
    <row r="378" spans="2:4" x14ac:dyDescent="0.25">
      <c r="B378" s="46">
        <v>2020</v>
      </c>
      <c r="C378" s="111" t="s">
        <v>593</v>
      </c>
      <c r="D378" s="118">
        <v>2</v>
      </c>
    </row>
    <row r="379" spans="2:4" x14ac:dyDescent="0.25">
      <c r="B379" s="102">
        <v>2020</v>
      </c>
      <c r="C379" s="115" t="s">
        <v>593</v>
      </c>
      <c r="D379" s="115">
        <v>1</v>
      </c>
    </row>
    <row r="380" spans="2:4" x14ac:dyDescent="0.25">
      <c r="B380" s="102">
        <v>2020</v>
      </c>
      <c r="C380" s="115" t="s">
        <v>593</v>
      </c>
      <c r="D380" s="115">
        <v>2</v>
      </c>
    </row>
    <row r="381" spans="2:4" x14ac:dyDescent="0.25">
      <c r="B381" s="91">
        <v>2020</v>
      </c>
      <c r="C381" s="115" t="s">
        <v>593</v>
      </c>
      <c r="D381" s="115">
        <v>1</v>
      </c>
    </row>
    <row r="382" spans="2:4" x14ac:dyDescent="0.25">
      <c r="B382" s="91">
        <v>2020</v>
      </c>
      <c r="C382" s="48" t="s">
        <v>593</v>
      </c>
      <c r="D382" s="113">
        <v>1</v>
      </c>
    </row>
    <row r="383" spans="2:4" x14ac:dyDescent="0.25">
      <c r="B383" s="91">
        <v>2018</v>
      </c>
      <c r="C383" s="115" t="s">
        <v>595</v>
      </c>
      <c r="D383" s="115">
        <v>1</v>
      </c>
    </row>
    <row r="384" spans="2:4" x14ac:dyDescent="0.25">
      <c r="B384" s="91">
        <v>2018</v>
      </c>
      <c r="C384" s="115" t="s">
        <v>595</v>
      </c>
      <c r="D384" s="115">
        <v>1</v>
      </c>
    </row>
    <row r="385" spans="2:4" x14ac:dyDescent="0.25">
      <c r="B385" s="90">
        <v>2019</v>
      </c>
      <c r="C385" s="45" t="s">
        <v>595</v>
      </c>
      <c r="D385" s="118">
        <v>1</v>
      </c>
    </row>
    <row r="386" spans="2:4" x14ac:dyDescent="0.25">
      <c r="B386" s="101">
        <v>2020</v>
      </c>
      <c r="C386" s="111" t="s">
        <v>595</v>
      </c>
      <c r="D386" s="112">
        <v>1</v>
      </c>
    </row>
    <row r="387" spans="2:4" x14ac:dyDescent="0.25">
      <c r="B387" s="55">
        <v>2020</v>
      </c>
      <c r="C387" s="111" t="s">
        <v>595</v>
      </c>
      <c r="D387" s="118">
        <v>1</v>
      </c>
    </row>
    <row r="388" spans="2:4" x14ac:dyDescent="0.25">
      <c r="B388" s="90">
        <v>2020</v>
      </c>
      <c r="C388" s="45" t="s">
        <v>595</v>
      </c>
      <c r="D388" s="118">
        <v>2</v>
      </c>
    </row>
    <row r="389" spans="2:4" x14ac:dyDescent="0.25">
      <c r="B389" s="91">
        <v>2020</v>
      </c>
      <c r="C389" s="115" t="s">
        <v>595</v>
      </c>
      <c r="D389" s="115">
        <v>1</v>
      </c>
    </row>
    <row r="390" spans="2:4" x14ac:dyDescent="0.25">
      <c r="B390" s="90">
        <v>2020</v>
      </c>
      <c r="C390" s="45" t="s">
        <v>595</v>
      </c>
      <c r="D390" s="118">
        <v>1</v>
      </c>
    </row>
    <row r="391" spans="2:4" x14ac:dyDescent="0.25">
      <c r="B391" s="90">
        <v>2020</v>
      </c>
      <c r="C391" s="45" t="s">
        <v>595</v>
      </c>
      <c r="D391" s="118">
        <v>1</v>
      </c>
    </row>
    <row r="392" spans="2:4" x14ac:dyDescent="0.25">
      <c r="B392" s="90">
        <v>2020</v>
      </c>
      <c r="C392" s="45" t="s">
        <v>595</v>
      </c>
      <c r="D392" s="118">
        <v>1</v>
      </c>
    </row>
    <row r="393" spans="2:4" x14ac:dyDescent="0.25">
      <c r="B393" s="102">
        <v>2019</v>
      </c>
      <c r="C393" s="141" t="s">
        <v>684</v>
      </c>
      <c r="D393" s="140">
        <v>3</v>
      </c>
    </row>
    <row r="394" spans="2:4" x14ac:dyDescent="0.25">
      <c r="B394" s="102">
        <v>2019</v>
      </c>
      <c r="C394" s="141" t="s">
        <v>684</v>
      </c>
      <c r="D394" s="114">
        <v>2</v>
      </c>
    </row>
    <row r="395" spans="2:4" x14ac:dyDescent="0.25">
      <c r="B395" s="103">
        <v>2019</v>
      </c>
      <c r="C395" s="141" t="s">
        <v>684</v>
      </c>
      <c r="D395" s="114">
        <v>2</v>
      </c>
    </row>
    <row r="396" spans="2:4" x14ac:dyDescent="0.25">
      <c r="B396" s="104">
        <v>2019</v>
      </c>
      <c r="C396" s="141" t="s">
        <v>684</v>
      </c>
      <c r="D396" s="114">
        <v>2</v>
      </c>
    </row>
    <row r="397" spans="2:4" x14ac:dyDescent="0.25">
      <c r="B397" s="105">
        <v>2019</v>
      </c>
      <c r="C397" s="141" t="s">
        <v>684</v>
      </c>
      <c r="D397" s="140">
        <v>4</v>
      </c>
    </row>
    <row r="398" spans="2:4" x14ac:dyDescent="0.25">
      <c r="B398" s="105">
        <v>2020</v>
      </c>
      <c r="C398" s="141" t="s">
        <v>684</v>
      </c>
      <c r="D398" s="140">
        <v>2</v>
      </c>
    </row>
    <row r="399" spans="2:4" x14ac:dyDescent="0.25">
      <c r="B399" s="101">
        <v>2020</v>
      </c>
      <c r="C399" s="111" t="s">
        <v>684</v>
      </c>
      <c r="D399" s="114">
        <v>2</v>
      </c>
    </row>
    <row r="400" spans="2:4" x14ac:dyDescent="0.25">
      <c r="B400" s="101">
        <v>2020</v>
      </c>
      <c r="C400" s="141" t="s">
        <v>684</v>
      </c>
      <c r="D400" s="112">
        <v>6</v>
      </c>
    </row>
    <row r="401" spans="2:4" x14ac:dyDescent="0.25">
      <c r="B401" s="46">
        <v>2020</v>
      </c>
      <c r="C401" s="141" t="s">
        <v>684</v>
      </c>
      <c r="D401" s="112">
        <v>2</v>
      </c>
    </row>
    <row r="402" spans="2:4" x14ac:dyDescent="0.25">
      <c r="B402" s="55">
        <v>2020</v>
      </c>
      <c r="C402" s="141" t="s">
        <v>684</v>
      </c>
      <c r="D402" s="112">
        <v>3</v>
      </c>
    </row>
    <row r="403" spans="2:4" x14ac:dyDescent="0.25">
      <c r="B403" s="55">
        <v>2020</v>
      </c>
      <c r="C403" s="141" t="s">
        <v>684</v>
      </c>
      <c r="D403" s="112">
        <v>8</v>
      </c>
    </row>
    <row r="404" spans="2:4" x14ac:dyDescent="0.25">
      <c r="B404" s="57">
        <v>2019</v>
      </c>
      <c r="C404" s="45" t="s">
        <v>662</v>
      </c>
      <c r="D404" s="118">
        <v>274</v>
      </c>
    </row>
    <row r="405" spans="2:4" x14ac:dyDescent="0.25">
      <c r="B405" s="46">
        <v>2020</v>
      </c>
      <c r="C405" s="45" t="s">
        <v>662</v>
      </c>
      <c r="D405" s="118">
        <v>369</v>
      </c>
    </row>
    <row r="406" spans="2:4" x14ac:dyDescent="0.25">
      <c r="B406" s="57">
        <v>2020</v>
      </c>
      <c r="C406" s="45" t="s">
        <v>662</v>
      </c>
      <c r="D406" s="118">
        <v>704</v>
      </c>
    </row>
    <row r="407" spans="2:4" x14ac:dyDescent="0.25">
      <c r="B407" s="46">
        <v>2020</v>
      </c>
      <c r="C407" s="45" t="s">
        <v>664</v>
      </c>
      <c r="D407" s="113">
        <v>1</v>
      </c>
    </row>
    <row r="408" spans="2:4" x14ac:dyDescent="0.25">
      <c r="B408" s="46">
        <v>2020</v>
      </c>
      <c r="C408" s="45" t="s">
        <v>664</v>
      </c>
      <c r="D408" s="113">
        <v>1</v>
      </c>
    </row>
    <row r="409" spans="2:4" x14ac:dyDescent="0.25">
      <c r="B409" s="46">
        <v>2021</v>
      </c>
      <c r="C409" s="45" t="s">
        <v>664</v>
      </c>
      <c r="D409" s="113">
        <v>1</v>
      </c>
    </row>
    <row r="410" spans="2:4" x14ac:dyDescent="0.25">
      <c r="B410" s="46">
        <v>2020</v>
      </c>
      <c r="C410" s="111" t="s">
        <v>689</v>
      </c>
      <c r="D410" s="118">
        <v>1</v>
      </c>
    </row>
    <row r="411" spans="2:4" x14ac:dyDescent="0.25">
      <c r="B411" s="46">
        <v>2020</v>
      </c>
      <c r="C411" s="111" t="s">
        <v>689</v>
      </c>
      <c r="D411" s="118">
        <v>1</v>
      </c>
    </row>
    <row r="412" spans="2:4" x14ac:dyDescent="0.25">
      <c r="B412" s="46">
        <v>2020</v>
      </c>
      <c r="C412" s="111" t="s">
        <v>650</v>
      </c>
      <c r="D412" s="118">
        <v>2</v>
      </c>
    </row>
    <row r="413" spans="2:4" x14ac:dyDescent="0.25">
      <c r="B413" s="95">
        <v>2018</v>
      </c>
      <c r="C413" s="45" t="s">
        <v>599</v>
      </c>
      <c r="D413" s="118">
        <v>1</v>
      </c>
    </row>
    <row r="414" spans="2:4" x14ac:dyDescent="0.25">
      <c r="B414" s="91">
        <v>2018</v>
      </c>
      <c r="C414" s="114" t="s">
        <v>599</v>
      </c>
      <c r="D414" s="118">
        <v>4.26</v>
      </c>
    </row>
    <row r="415" spans="2:4" x14ac:dyDescent="0.25">
      <c r="B415" s="91">
        <v>2018</v>
      </c>
      <c r="C415" s="114" t="s">
        <v>599</v>
      </c>
      <c r="D415" s="118">
        <v>6.14</v>
      </c>
    </row>
    <row r="416" spans="2:4" x14ac:dyDescent="0.25">
      <c r="B416" s="91">
        <v>2020</v>
      </c>
      <c r="C416" s="114" t="s">
        <v>599</v>
      </c>
      <c r="D416" s="118">
        <v>0.9</v>
      </c>
    </row>
    <row r="417" spans="2:4" x14ac:dyDescent="0.25">
      <c r="B417" s="98">
        <v>2020</v>
      </c>
      <c r="C417" s="45" t="s">
        <v>599</v>
      </c>
      <c r="D417" s="112">
        <v>0.7</v>
      </c>
    </row>
    <row r="418" spans="2:4" x14ac:dyDescent="0.25">
      <c r="B418" s="99">
        <v>2020</v>
      </c>
      <c r="C418" s="45" t="s">
        <v>599</v>
      </c>
      <c r="D418" s="118">
        <v>2.87</v>
      </c>
    </row>
    <row r="419" spans="2:4" x14ac:dyDescent="0.25">
      <c r="B419" s="90">
        <v>2020</v>
      </c>
      <c r="C419" s="45" t="s">
        <v>599</v>
      </c>
      <c r="D419" s="118">
        <v>0.4</v>
      </c>
    </row>
    <row r="420" spans="2:4" x14ac:dyDescent="0.25">
      <c r="B420" s="90">
        <v>2020</v>
      </c>
      <c r="C420" s="114" t="s">
        <v>599</v>
      </c>
      <c r="D420" s="118">
        <v>1.67</v>
      </c>
    </row>
    <row r="421" spans="2:4" x14ac:dyDescent="0.25">
      <c r="B421" s="90">
        <v>2020</v>
      </c>
      <c r="C421" s="114" t="s">
        <v>599</v>
      </c>
      <c r="D421" s="118">
        <v>2</v>
      </c>
    </row>
    <row r="422" spans="2:4" x14ac:dyDescent="0.25">
      <c r="B422" s="93">
        <v>2020</v>
      </c>
      <c r="C422" s="119" t="s">
        <v>599</v>
      </c>
      <c r="D422" s="112">
        <v>0.23</v>
      </c>
    </row>
    <row r="423" spans="2:4" x14ac:dyDescent="0.25">
      <c r="B423" s="95">
        <v>2020</v>
      </c>
      <c r="C423" s="123" t="s">
        <v>601</v>
      </c>
      <c r="D423" s="118">
        <v>1.1100000000000001</v>
      </c>
    </row>
    <row r="424" spans="2:4" x14ac:dyDescent="0.25">
      <c r="B424" s="93">
        <v>2020</v>
      </c>
      <c r="C424" s="123" t="s">
        <v>601</v>
      </c>
      <c r="D424" s="115">
        <v>0.48799999999999999</v>
      </c>
    </row>
    <row r="425" spans="2:4" x14ac:dyDescent="0.25">
      <c r="B425" s="93">
        <v>2019</v>
      </c>
      <c r="C425" s="119" t="s">
        <v>603</v>
      </c>
      <c r="D425" s="112">
        <v>10</v>
      </c>
    </row>
    <row r="426" spans="2:4" x14ac:dyDescent="0.25">
      <c r="B426" s="91">
        <v>2020</v>
      </c>
      <c r="C426" s="45" t="s">
        <v>603</v>
      </c>
      <c r="D426" s="118">
        <v>3</v>
      </c>
    </row>
    <row r="427" spans="2:4" x14ac:dyDescent="0.25">
      <c r="B427" s="91">
        <v>2018</v>
      </c>
      <c r="C427" s="114" t="s">
        <v>605</v>
      </c>
      <c r="D427" s="118">
        <v>24</v>
      </c>
    </row>
    <row r="428" spans="2:4" x14ac:dyDescent="0.25">
      <c r="B428" s="94">
        <v>2020</v>
      </c>
      <c r="C428" s="45" t="s">
        <v>605</v>
      </c>
      <c r="D428" s="118">
        <v>2</v>
      </c>
    </row>
    <row r="429" spans="2:4" x14ac:dyDescent="0.25">
      <c r="B429" s="93">
        <v>2021</v>
      </c>
      <c r="C429" s="119" t="s">
        <v>605</v>
      </c>
      <c r="D429" s="112">
        <v>4</v>
      </c>
    </row>
    <row r="430" spans="2:4" x14ac:dyDescent="0.25">
      <c r="B430" s="98">
        <v>2019</v>
      </c>
      <c r="C430" s="111" t="s">
        <v>607</v>
      </c>
      <c r="D430" s="149">
        <v>316.10000000000002</v>
      </c>
    </row>
    <row r="431" spans="2:4" x14ac:dyDescent="0.25">
      <c r="B431" s="91">
        <v>2019</v>
      </c>
      <c r="C431" s="126" t="s">
        <v>607</v>
      </c>
      <c r="D431" s="128">
        <v>612.75</v>
      </c>
    </row>
    <row r="432" spans="2:4" x14ac:dyDescent="0.25">
      <c r="B432" s="91">
        <v>2020</v>
      </c>
      <c r="C432" s="111" t="s">
        <v>607</v>
      </c>
      <c r="D432" s="149">
        <v>228.22</v>
      </c>
    </row>
    <row r="433" spans="2:4" x14ac:dyDescent="0.25">
      <c r="B433" s="101">
        <v>2018</v>
      </c>
      <c r="C433" s="111" t="s">
        <v>609</v>
      </c>
      <c r="D433" s="118">
        <v>2947</v>
      </c>
    </row>
    <row r="434" spans="2:4" x14ac:dyDescent="0.25">
      <c r="B434" s="50">
        <v>2018</v>
      </c>
      <c r="C434" s="111" t="s">
        <v>609</v>
      </c>
      <c r="D434" s="118">
        <v>3243.6</v>
      </c>
    </row>
    <row r="435" spans="2:4" x14ac:dyDescent="0.25">
      <c r="B435" s="102">
        <v>2018</v>
      </c>
      <c r="C435" s="114" t="s">
        <v>609</v>
      </c>
      <c r="D435" s="118">
        <v>13065</v>
      </c>
    </row>
    <row r="436" spans="2:4" x14ac:dyDescent="0.25">
      <c r="B436" s="97">
        <v>2018</v>
      </c>
      <c r="C436" s="45" t="s">
        <v>609</v>
      </c>
      <c r="D436" s="118">
        <v>4373.5</v>
      </c>
    </row>
    <row r="437" spans="2:4" x14ac:dyDescent="0.25">
      <c r="B437" s="97">
        <v>2018</v>
      </c>
      <c r="C437" s="114" t="s">
        <v>609</v>
      </c>
      <c r="D437" s="118">
        <v>3937</v>
      </c>
    </row>
    <row r="438" spans="2:4" x14ac:dyDescent="0.25">
      <c r="B438" s="99">
        <v>2018</v>
      </c>
      <c r="C438" s="49" t="str">
        <f>+C437</f>
        <v>P.S.329</v>
      </c>
      <c r="D438" s="118">
        <v>2463</v>
      </c>
    </row>
    <row r="439" spans="2:4" x14ac:dyDescent="0.25">
      <c r="B439" s="97">
        <v>2019</v>
      </c>
      <c r="C439" s="114" t="s">
        <v>609</v>
      </c>
      <c r="D439" s="118">
        <v>1600</v>
      </c>
    </row>
    <row r="440" spans="2:4" x14ac:dyDescent="0.25">
      <c r="B440" s="46">
        <v>2017</v>
      </c>
      <c r="C440" s="114" t="s">
        <v>611</v>
      </c>
      <c r="D440" s="115">
        <v>0.65</v>
      </c>
    </row>
    <row r="441" spans="2:4" x14ac:dyDescent="0.25">
      <c r="B441" s="91">
        <v>2019</v>
      </c>
      <c r="C441" s="114" t="s">
        <v>611</v>
      </c>
      <c r="D441" s="118">
        <v>26.22</v>
      </c>
    </row>
    <row r="442" spans="2:4" x14ac:dyDescent="0.25">
      <c r="B442" s="46">
        <v>2019</v>
      </c>
      <c r="C442" s="114" t="s">
        <v>611</v>
      </c>
      <c r="D442" s="118">
        <v>8.1890000000000001</v>
      </c>
    </row>
    <row r="443" spans="2:4" x14ac:dyDescent="0.25">
      <c r="B443" s="46">
        <v>2019</v>
      </c>
      <c r="C443" s="115" t="s">
        <v>611</v>
      </c>
      <c r="D443" s="115">
        <v>6.3869999999999996</v>
      </c>
    </row>
    <row r="444" spans="2:4" x14ac:dyDescent="0.25">
      <c r="B444" s="91">
        <v>2019</v>
      </c>
      <c r="C444" s="114" t="s">
        <v>611</v>
      </c>
      <c r="D444" s="115">
        <v>7.6280000000000001</v>
      </c>
    </row>
    <row r="445" spans="2:4" x14ac:dyDescent="0.25">
      <c r="B445" s="91">
        <v>2019</v>
      </c>
      <c r="C445" s="113" t="s">
        <v>611</v>
      </c>
      <c r="D445" s="113">
        <v>4.508</v>
      </c>
    </row>
    <row r="446" spans="2:4" x14ac:dyDescent="0.25">
      <c r="B446" s="46">
        <v>2020</v>
      </c>
      <c r="C446" s="114" t="s">
        <v>611</v>
      </c>
      <c r="D446" s="114">
        <v>7.62</v>
      </c>
    </row>
    <row r="447" spans="2:4" x14ac:dyDescent="0.25">
      <c r="B447" s="91">
        <v>2021</v>
      </c>
      <c r="C447" s="114" t="s">
        <v>611</v>
      </c>
      <c r="D447" s="146">
        <v>9.8369999999999997</v>
      </c>
    </row>
    <row r="448" spans="2:4" x14ac:dyDescent="0.25">
      <c r="B448" s="91">
        <v>2019</v>
      </c>
      <c r="C448" s="45" t="s">
        <v>613</v>
      </c>
      <c r="D448" s="112">
        <v>1</v>
      </c>
    </row>
    <row r="449" spans="2:4" x14ac:dyDescent="0.25">
      <c r="B449" s="91">
        <v>2019</v>
      </c>
      <c r="C449" s="114" t="s">
        <v>613</v>
      </c>
      <c r="D449" s="270">
        <v>1</v>
      </c>
    </row>
    <row r="450" spans="2:4" x14ac:dyDescent="0.25">
      <c r="B450" s="91">
        <v>2019</v>
      </c>
      <c r="C450" s="114" t="s">
        <v>613</v>
      </c>
      <c r="D450" s="118">
        <v>1</v>
      </c>
    </row>
    <row r="451" spans="2:4" x14ac:dyDescent="0.25">
      <c r="B451" s="100">
        <v>2019</v>
      </c>
      <c r="C451" s="114" t="s">
        <v>613</v>
      </c>
      <c r="D451" s="118">
        <v>1</v>
      </c>
    </row>
    <row r="452" spans="2:4" x14ac:dyDescent="0.25">
      <c r="B452" s="91">
        <v>2020</v>
      </c>
      <c r="C452" s="114" t="s">
        <v>613</v>
      </c>
      <c r="D452" s="115">
        <v>1</v>
      </c>
    </row>
    <row r="453" spans="2:4" x14ac:dyDescent="0.25">
      <c r="B453" s="97">
        <v>2019</v>
      </c>
      <c r="C453" s="119" t="s">
        <v>702</v>
      </c>
      <c r="D453" s="112">
        <v>1</v>
      </c>
    </row>
    <row r="454" spans="2:4" x14ac:dyDescent="0.25">
      <c r="B454" s="97">
        <v>2019</v>
      </c>
      <c r="C454" s="119" t="s">
        <v>702</v>
      </c>
      <c r="D454" s="134">
        <v>1</v>
      </c>
    </row>
    <row r="455" spans="2:4" x14ac:dyDescent="0.25">
      <c r="B455" s="91">
        <v>2019</v>
      </c>
      <c r="C455" s="45" t="s">
        <v>874</v>
      </c>
      <c r="D455" s="112">
        <v>1</v>
      </c>
    </row>
    <row r="456" spans="2:4" x14ac:dyDescent="0.25">
      <c r="B456" s="93">
        <v>2018</v>
      </c>
      <c r="C456" s="115" t="s">
        <v>615</v>
      </c>
      <c r="D456" s="115">
        <v>1</v>
      </c>
    </row>
    <row r="457" spans="2:4" x14ac:dyDescent="0.25">
      <c r="B457" s="91">
        <v>2018</v>
      </c>
      <c r="C457" s="115" t="s">
        <v>615</v>
      </c>
      <c r="D457" s="115">
        <v>1</v>
      </c>
    </row>
    <row r="458" spans="2:4" x14ac:dyDescent="0.25">
      <c r="B458" s="91">
        <v>2019</v>
      </c>
      <c r="C458" s="111" t="s">
        <v>615</v>
      </c>
      <c r="D458" s="112">
        <v>1</v>
      </c>
    </row>
    <row r="459" spans="2:4" x14ac:dyDescent="0.25">
      <c r="B459" s="93">
        <v>2019</v>
      </c>
      <c r="C459" s="115" t="s">
        <v>615</v>
      </c>
      <c r="D459" s="115">
        <v>1</v>
      </c>
    </row>
    <row r="460" spans="2:4" x14ac:dyDescent="0.25">
      <c r="B460" s="91">
        <v>2023</v>
      </c>
      <c r="C460" s="115" t="s">
        <v>615</v>
      </c>
      <c r="D460" s="115">
        <v>1</v>
      </c>
    </row>
    <row r="461" spans="2:4" x14ac:dyDescent="0.25">
      <c r="B461" s="102">
        <v>2018</v>
      </c>
      <c r="C461" s="114" t="s">
        <v>646</v>
      </c>
      <c r="D461" s="118">
        <v>9</v>
      </c>
    </row>
    <row r="462" spans="2:4" x14ac:dyDescent="0.25">
      <c r="B462" s="96">
        <v>2017</v>
      </c>
      <c r="C462" s="123" t="s">
        <v>617</v>
      </c>
      <c r="D462" s="112">
        <v>17</v>
      </c>
    </row>
    <row r="463" spans="2:4" x14ac:dyDescent="0.25">
      <c r="B463" s="91">
        <v>2018</v>
      </c>
      <c r="C463" s="114" t="s">
        <v>617</v>
      </c>
      <c r="D463" s="118">
        <v>1</v>
      </c>
    </row>
    <row r="464" spans="2:4" x14ac:dyDescent="0.25">
      <c r="B464" s="91">
        <v>2018</v>
      </c>
      <c r="C464" s="114" t="s">
        <v>617</v>
      </c>
      <c r="D464" s="118">
        <v>1</v>
      </c>
    </row>
    <row r="465" spans="2:4" x14ac:dyDescent="0.25">
      <c r="B465" s="91">
        <v>2018</v>
      </c>
      <c r="C465" s="114" t="s">
        <v>617</v>
      </c>
      <c r="D465" s="118">
        <v>1</v>
      </c>
    </row>
    <row r="466" spans="2:4" x14ac:dyDescent="0.25">
      <c r="B466" s="95">
        <v>2018</v>
      </c>
      <c r="C466" s="115" t="s">
        <v>617</v>
      </c>
      <c r="D466" s="115">
        <v>1</v>
      </c>
    </row>
    <row r="467" spans="2:4" x14ac:dyDescent="0.25">
      <c r="B467" s="97">
        <v>2018</v>
      </c>
      <c r="C467" s="129" t="s">
        <v>617</v>
      </c>
      <c r="D467" s="129">
        <v>7</v>
      </c>
    </row>
    <row r="468" spans="2:4" x14ac:dyDescent="0.25">
      <c r="B468" s="95">
        <v>2019</v>
      </c>
      <c r="C468" s="115" t="s">
        <v>617</v>
      </c>
      <c r="D468" s="115">
        <v>1</v>
      </c>
    </row>
    <row r="469" spans="2:4" x14ac:dyDescent="0.25">
      <c r="B469" s="97">
        <v>2019</v>
      </c>
      <c r="C469" s="115" t="s">
        <v>617</v>
      </c>
      <c r="D469" s="115">
        <v>1</v>
      </c>
    </row>
    <row r="470" spans="2:4" x14ac:dyDescent="0.25">
      <c r="B470" s="92">
        <v>2019</v>
      </c>
      <c r="C470" s="115" t="s">
        <v>617</v>
      </c>
      <c r="D470" s="115">
        <v>1</v>
      </c>
    </row>
    <row r="471" spans="2:4" x14ac:dyDescent="0.25">
      <c r="B471" s="97">
        <v>2020</v>
      </c>
      <c r="C471" s="114" t="s">
        <v>617</v>
      </c>
      <c r="D471" s="118">
        <v>4</v>
      </c>
    </row>
    <row r="472" spans="2:4" x14ac:dyDescent="0.25">
      <c r="B472" s="92">
        <v>2020</v>
      </c>
      <c r="C472" s="123" t="s">
        <v>617</v>
      </c>
      <c r="D472" s="115">
        <v>1</v>
      </c>
    </row>
    <row r="473" spans="2:4" x14ac:dyDescent="0.25">
      <c r="B473" s="92">
        <v>2020</v>
      </c>
      <c r="C473" s="115" t="s">
        <v>617</v>
      </c>
      <c r="D473" s="115">
        <v>1</v>
      </c>
    </row>
    <row r="474" spans="2:4" x14ac:dyDescent="0.25">
      <c r="B474" s="91">
        <v>2020</v>
      </c>
      <c r="C474" s="111" t="s">
        <v>617</v>
      </c>
      <c r="D474" s="113">
        <v>1</v>
      </c>
    </row>
    <row r="475" spans="2:4" x14ac:dyDescent="0.25">
      <c r="B475" s="91">
        <v>2020</v>
      </c>
      <c r="C475" s="114" t="s">
        <v>617</v>
      </c>
      <c r="D475" s="115">
        <v>1</v>
      </c>
    </row>
    <row r="476" spans="2:4" x14ac:dyDescent="0.25">
      <c r="B476" s="94">
        <v>2021</v>
      </c>
      <c r="C476" s="114" t="s">
        <v>617</v>
      </c>
      <c r="D476" s="115">
        <v>1</v>
      </c>
    </row>
    <row r="477" spans="2:4" x14ac:dyDescent="0.25">
      <c r="B477" s="92">
        <v>2023</v>
      </c>
      <c r="C477" s="123" t="s">
        <v>617</v>
      </c>
      <c r="D477" s="118">
        <v>1</v>
      </c>
    </row>
    <row r="478" spans="2:4" x14ac:dyDescent="0.25">
      <c r="B478" s="92">
        <v>2023</v>
      </c>
      <c r="C478" s="123" t="s">
        <v>617</v>
      </c>
      <c r="D478" s="118">
        <v>1</v>
      </c>
    </row>
    <row r="479" spans="2:4" x14ac:dyDescent="0.25">
      <c r="B479" s="46">
        <v>2019</v>
      </c>
      <c r="C479" s="111" t="s">
        <v>619</v>
      </c>
      <c r="D479" s="118">
        <v>1</v>
      </c>
    </row>
    <row r="480" spans="2:4" x14ac:dyDescent="0.25">
      <c r="B480" s="91">
        <v>2019</v>
      </c>
      <c r="C480" s="114" t="s">
        <v>619</v>
      </c>
      <c r="D480" s="118">
        <v>1</v>
      </c>
    </row>
    <row r="481" spans="2:4" x14ac:dyDescent="0.25">
      <c r="B481" s="91">
        <v>2019</v>
      </c>
      <c r="C481" s="114" t="s">
        <v>619</v>
      </c>
      <c r="D481" s="118">
        <v>1</v>
      </c>
    </row>
    <row r="482" spans="2:4" x14ac:dyDescent="0.25">
      <c r="B482" s="91">
        <v>2019</v>
      </c>
      <c r="C482" s="114" t="s">
        <v>619</v>
      </c>
      <c r="D482" s="118">
        <v>1</v>
      </c>
    </row>
    <row r="483" spans="2:4" x14ac:dyDescent="0.25">
      <c r="B483" s="93">
        <v>2019</v>
      </c>
      <c r="C483" s="45" t="s">
        <v>619</v>
      </c>
      <c r="D483" s="118">
        <v>1</v>
      </c>
    </row>
    <row r="484" spans="2:4" x14ac:dyDescent="0.25">
      <c r="B484" s="91">
        <v>2020</v>
      </c>
      <c r="C484" s="111" t="s">
        <v>619</v>
      </c>
      <c r="D484" s="112">
        <v>1</v>
      </c>
    </row>
    <row r="485" spans="2:4" x14ac:dyDescent="0.25">
      <c r="B485" s="93">
        <v>2021</v>
      </c>
      <c r="C485" s="111" t="s">
        <v>619</v>
      </c>
      <c r="D485" s="118">
        <v>1</v>
      </c>
    </row>
    <row r="486" spans="2:4" x14ac:dyDescent="0.25">
      <c r="B486" s="91">
        <v>2021</v>
      </c>
      <c r="C486" s="45" t="s">
        <v>619</v>
      </c>
      <c r="D486" s="118">
        <v>1</v>
      </c>
    </row>
    <row r="487" spans="2:4" x14ac:dyDescent="0.25">
      <c r="B487" s="91">
        <v>2021</v>
      </c>
      <c r="C487" s="45" t="s">
        <v>619</v>
      </c>
      <c r="D487" s="118">
        <v>1</v>
      </c>
    </row>
    <row r="488" spans="2:4" x14ac:dyDescent="0.25">
      <c r="B488" s="91">
        <v>2017</v>
      </c>
      <c r="C488" s="45" t="s">
        <v>621</v>
      </c>
      <c r="D488" s="118">
        <v>3</v>
      </c>
    </row>
    <row r="489" spans="2:4" x14ac:dyDescent="0.25">
      <c r="B489" s="93">
        <v>2018</v>
      </c>
      <c r="C489" s="45" t="s">
        <v>621</v>
      </c>
      <c r="D489" s="118">
        <v>19</v>
      </c>
    </row>
    <row r="490" spans="2:4" x14ac:dyDescent="0.25">
      <c r="B490" s="98">
        <v>2018</v>
      </c>
      <c r="C490" s="45" t="s">
        <v>621</v>
      </c>
      <c r="D490" s="112">
        <v>18</v>
      </c>
    </row>
    <row r="491" spans="2:4" x14ac:dyDescent="0.25">
      <c r="B491" s="91">
        <v>2018</v>
      </c>
      <c r="C491" s="114" t="s">
        <v>621</v>
      </c>
      <c r="D491" s="118">
        <v>173</v>
      </c>
    </row>
    <row r="492" spans="2:4" x14ac:dyDescent="0.25">
      <c r="B492" s="91">
        <v>2019</v>
      </c>
      <c r="C492" s="45" t="s">
        <v>621</v>
      </c>
      <c r="D492" s="118">
        <v>11</v>
      </c>
    </row>
    <row r="493" spans="2:4" x14ac:dyDescent="0.25">
      <c r="B493" s="91">
        <v>2019</v>
      </c>
      <c r="C493" s="45" t="s">
        <v>621</v>
      </c>
      <c r="D493" s="118">
        <v>30</v>
      </c>
    </row>
    <row r="494" spans="2:4" x14ac:dyDescent="0.25">
      <c r="B494" s="98">
        <v>2020</v>
      </c>
      <c r="C494" s="45" t="s">
        <v>621</v>
      </c>
      <c r="D494" s="112">
        <v>40</v>
      </c>
    </row>
    <row r="495" spans="2:4" x14ac:dyDescent="0.25">
      <c r="B495" s="91">
        <v>2022</v>
      </c>
      <c r="C495" s="111" t="s">
        <v>621</v>
      </c>
      <c r="D495" s="112">
        <v>80</v>
      </c>
    </row>
    <row r="496" spans="2:4" x14ac:dyDescent="0.25">
      <c r="B496" s="91">
        <v>2019</v>
      </c>
      <c r="C496" s="114" t="s">
        <v>644</v>
      </c>
      <c r="D496" s="118">
        <v>1</v>
      </c>
    </row>
    <row r="497" spans="2:4" x14ac:dyDescent="0.25">
      <c r="B497" s="91">
        <v>2019</v>
      </c>
      <c r="C497" s="114" t="s">
        <v>644</v>
      </c>
      <c r="D497" s="118">
        <v>1</v>
      </c>
    </row>
    <row r="498" spans="2:4" x14ac:dyDescent="0.25">
      <c r="B498" s="101">
        <v>2019</v>
      </c>
      <c r="C498" s="111" t="s">
        <v>623</v>
      </c>
      <c r="D498" s="112">
        <v>37866</v>
      </c>
    </row>
    <row r="499" spans="2:4" x14ac:dyDescent="0.25">
      <c r="B499" s="53">
        <v>2019</v>
      </c>
      <c r="C499" s="111" t="s">
        <v>623</v>
      </c>
      <c r="D499" s="118">
        <v>91148</v>
      </c>
    </row>
    <row r="500" spans="2:4" x14ac:dyDescent="0.25">
      <c r="B500" s="53">
        <v>2020</v>
      </c>
      <c r="C500" s="111" t="s">
        <v>623</v>
      </c>
      <c r="D500" s="118">
        <v>10265</v>
      </c>
    </row>
    <row r="501" spans="2:4" x14ac:dyDescent="0.25">
      <c r="B501" s="93">
        <v>2020</v>
      </c>
      <c r="C501" s="45" t="s">
        <v>623</v>
      </c>
      <c r="D501" s="112">
        <v>8440</v>
      </c>
    </row>
    <row r="502" spans="2:4" x14ac:dyDescent="0.25">
      <c r="B502" s="98">
        <v>2020</v>
      </c>
      <c r="C502" s="52" t="s">
        <v>623</v>
      </c>
      <c r="D502" s="150">
        <v>10206.5</v>
      </c>
    </row>
    <row r="503" spans="2:4" x14ac:dyDescent="0.25">
      <c r="B503" s="91">
        <v>2020</v>
      </c>
      <c r="C503" s="45" t="s">
        <v>623</v>
      </c>
      <c r="D503" s="112">
        <v>84826</v>
      </c>
    </row>
    <row r="504" spans="2:4" x14ac:dyDescent="0.25">
      <c r="B504" s="47">
        <v>2020</v>
      </c>
      <c r="C504" s="111" t="s">
        <v>623</v>
      </c>
      <c r="D504" s="118">
        <v>13198</v>
      </c>
    </row>
    <row r="505" spans="2:4" x14ac:dyDescent="0.25">
      <c r="B505" s="46">
        <v>2020</v>
      </c>
      <c r="C505" s="111" t="s">
        <v>623</v>
      </c>
      <c r="D505" s="118">
        <v>16740</v>
      </c>
    </row>
    <row r="506" spans="2:4" x14ac:dyDescent="0.25">
      <c r="B506" s="91">
        <v>2021</v>
      </c>
      <c r="C506" s="45" t="s">
        <v>623</v>
      </c>
      <c r="D506" s="112">
        <v>40000</v>
      </c>
    </row>
    <row r="507" spans="2:4" x14ac:dyDescent="0.25">
      <c r="B507" s="91">
        <v>2022</v>
      </c>
      <c r="C507" s="45" t="s">
        <v>623</v>
      </c>
      <c r="D507" s="112">
        <v>3938</v>
      </c>
    </row>
    <row r="508" spans="2:4" x14ac:dyDescent="0.25">
      <c r="B508" s="53">
        <v>2020</v>
      </c>
      <c r="C508" s="115" t="s">
        <v>625</v>
      </c>
      <c r="D508" s="115">
        <v>255.37</v>
      </c>
    </row>
    <row r="509" spans="2:4" x14ac:dyDescent="0.25">
      <c r="B509" s="47">
        <v>2020</v>
      </c>
      <c r="C509" s="115" t="s">
        <v>625</v>
      </c>
      <c r="D509" s="115">
        <v>0</v>
      </c>
    </row>
    <row r="510" spans="2:4" x14ac:dyDescent="0.25">
      <c r="B510" s="46">
        <v>2020</v>
      </c>
      <c r="C510" s="115" t="s">
        <v>625</v>
      </c>
      <c r="D510" s="115">
        <v>0</v>
      </c>
    </row>
    <row r="511" spans="2:4" x14ac:dyDescent="0.25">
      <c r="B511" s="106">
        <v>2020</v>
      </c>
      <c r="C511" s="127" t="s">
        <v>642</v>
      </c>
      <c r="D511" s="148">
        <v>4533</v>
      </c>
    </row>
    <row r="512" spans="2:4" x14ac:dyDescent="0.25">
      <c r="B512" s="108">
        <v>2020</v>
      </c>
      <c r="C512" s="127" t="s">
        <v>642</v>
      </c>
      <c r="D512" s="148">
        <v>2500</v>
      </c>
    </row>
    <row r="513" spans="2:4" x14ac:dyDescent="0.25">
      <c r="B513" s="110">
        <v>2020</v>
      </c>
      <c r="C513" s="127" t="s">
        <v>642</v>
      </c>
      <c r="D513" s="148">
        <v>350</v>
      </c>
    </row>
    <row r="514" spans="2:4" x14ac:dyDescent="0.25">
      <c r="B514" s="54">
        <v>2021</v>
      </c>
      <c r="C514" s="127" t="s">
        <v>642</v>
      </c>
      <c r="D514" s="148">
        <v>1000</v>
      </c>
    </row>
    <row r="515" spans="2:4" x14ac:dyDescent="0.25">
      <c r="B515" s="107">
        <v>2021</v>
      </c>
      <c r="C515" s="127" t="s">
        <v>642</v>
      </c>
      <c r="D515" s="148">
        <v>2500</v>
      </c>
    </row>
    <row r="516" spans="2:4" x14ac:dyDescent="0.25">
      <c r="B516" s="106">
        <v>2021</v>
      </c>
      <c r="C516" s="127" t="s">
        <v>642</v>
      </c>
      <c r="D516" s="148">
        <v>1275</v>
      </c>
    </row>
    <row r="517" spans="2:4" x14ac:dyDescent="0.25">
      <c r="B517" s="109">
        <v>2022</v>
      </c>
      <c r="C517" s="127" t="s">
        <v>642</v>
      </c>
      <c r="D517" s="148">
        <v>800</v>
      </c>
    </row>
    <row r="518" spans="2:4" x14ac:dyDescent="0.25">
      <c r="B518" s="107">
        <v>2022</v>
      </c>
      <c r="C518" s="127" t="s">
        <v>642</v>
      </c>
      <c r="D518" s="148">
        <v>1588</v>
      </c>
    </row>
    <row r="519" spans="2:4" x14ac:dyDescent="0.25">
      <c r="B519" s="91">
        <v>2018</v>
      </c>
      <c r="C519" s="114" t="s">
        <v>629</v>
      </c>
      <c r="D519" s="118">
        <v>1</v>
      </c>
    </row>
    <row r="520" spans="2:4" x14ac:dyDescent="0.25">
      <c r="B520" s="91">
        <v>2018</v>
      </c>
      <c r="C520" s="114" t="s">
        <v>629</v>
      </c>
      <c r="D520" s="118">
        <v>1</v>
      </c>
    </row>
    <row r="521" spans="2:4" x14ac:dyDescent="0.25">
      <c r="B521" s="101">
        <v>2019</v>
      </c>
      <c r="C521" s="113" t="s">
        <v>629</v>
      </c>
      <c r="D521" s="113">
        <v>2</v>
      </c>
    </row>
    <row r="522" spans="2:4" x14ac:dyDescent="0.25">
      <c r="B522" s="102">
        <v>2020</v>
      </c>
      <c r="C522" s="114" t="s">
        <v>629</v>
      </c>
      <c r="D522" s="118">
        <v>1</v>
      </c>
    </row>
    <row r="523" spans="2:4" x14ac:dyDescent="0.25">
      <c r="B523" s="102">
        <v>2020</v>
      </c>
      <c r="C523" s="114" t="s">
        <v>629</v>
      </c>
      <c r="D523" s="118">
        <v>2</v>
      </c>
    </row>
    <row r="524" spans="2:4" x14ac:dyDescent="0.25">
      <c r="B524" s="91">
        <v>2020</v>
      </c>
      <c r="C524" s="114" t="s">
        <v>629</v>
      </c>
      <c r="D524" s="118">
        <v>1</v>
      </c>
    </row>
    <row r="525" spans="2:4" x14ac:dyDescent="0.25">
      <c r="B525" s="91">
        <v>2020</v>
      </c>
      <c r="C525" s="115" t="s">
        <v>629</v>
      </c>
      <c r="D525" s="115"/>
    </row>
    <row r="526" spans="2:4" x14ac:dyDescent="0.25">
      <c r="B526" s="102">
        <v>2019</v>
      </c>
      <c r="C526" s="140" t="s">
        <v>682</v>
      </c>
      <c r="D526" s="140">
        <v>16</v>
      </c>
    </row>
    <row r="527" spans="2:4" x14ac:dyDescent="0.25">
      <c r="B527" s="102">
        <v>2019</v>
      </c>
      <c r="C527" s="140" t="s">
        <v>682</v>
      </c>
      <c r="D527" s="140">
        <v>35</v>
      </c>
    </row>
    <row r="528" spans="2:4" x14ac:dyDescent="0.25">
      <c r="B528" s="103">
        <v>2019</v>
      </c>
      <c r="C528" s="140" t="s">
        <v>682</v>
      </c>
      <c r="D528" s="140">
        <v>25</v>
      </c>
    </row>
    <row r="529" spans="2:4" x14ac:dyDescent="0.25">
      <c r="B529" s="104">
        <v>2019</v>
      </c>
      <c r="C529" s="140" t="s">
        <v>682</v>
      </c>
      <c r="D529" s="140">
        <v>24</v>
      </c>
    </row>
    <row r="530" spans="2:4" x14ac:dyDescent="0.25">
      <c r="B530" s="105">
        <v>2019</v>
      </c>
      <c r="C530" s="140" t="s">
        <v>682</v>
      </c>
      <c r="D530" s="140">
        <v>80</v>
      </c>
    </row>
    <row r="531" spans="2:4" x14ac:dyDescent="0.25">
      <c r="B531" s="105">
        <v>2020</v>
      </c>
      <c r="C531" s="140" t="s">
        <v>682</v>
      </c>
      <c r="D531" s="140">
        <v>20</v>
      </c>
    </row>
    <row r="532" spans="2:4" x14ac:dyDescent="0.25">
      <c r="B532" s="101">
        <v>2020</v>
      </c>
      <c r="C532" s="114" t="s">
        <v>682</v>
      </c>
      <c r="D532" s="114">
        <v>0</v>
      </c>
    </row>
    <row r="533" spans="2:4" x14ac:dyDescent="0.25">
      <c r="B533" s="101">
        <v>2020</v>
      </c>
      <c r="C533" s="140" t="s">
        <v>682</v>
      </c>
      <c r="D533" s="112">
        <v>56</v>
      </c>
    </row>
    <row r="534" spans="2:4" x14ac:dyDescent="0.25">
      <c r="B534" s="46">
        <v>2020</v>
      </c>
      <c r="C534" s="140" t="s">
        <v>682</v>
      </c>
      <c r="D534" s="112">
        <v>20</v>
      </c>
    </row>
    <row r="535" spans="2:4" x14ac:dyDescent="0.25">
      <c r="B535" s="55">
        <v>2020</v>
      </c>
      <c r="C535" s="140" t="s">
        <v>682</v>
      </c>
      <c r="D535" s="112">
        <v>108</v>
      </c>
    </row>
    <row r="536" spans="2:4" x14ac:dyDescent="0.25">
      <c r="B536" s="55">
        <v>2020</v>
      </c>
      <c r="C536" s="140" t="s">
        <v>682</v>
      </c>
      <c r="D536" s="112">
        <v>34</v>
      </c>
    </row>
    <row r="537" spans="2:4" x14ac:dyDescent="0.25">
      <c r="B537" s="46">
        <v>2018</v>
      </c>
      <c r="C537" s="45" t="s">
        <v>631</v>
      </c>
      <c r="D537" s="112">
        <v>2</v>
      </c>
    </row>
    <row r="538" spans="2:4" x14ac:dyDescent="0.25">
      <c r="B538" s="46">
        <v>2020</v>
      </c>
      <c r="C538" s="45" t="s">
        <v>631</v>
      </c>
      <c r="D538" s="112">
        <v>2</v>
      </c>
    </row>
    <row r="539" spans="2:4" x14ac:dyDescent="0.25">
      <c r="B539" s="46">
        <v>2020</v>
      </c>
      <c r="C539" s="45" t="s">
        <v>631</v>
      </c>
      <c r="D539" s="112">
        <v>1</v>
      </c>
    </row>
    <row r="540" spans="2:4" x14ac:dyDescent="0.25">
      <c r="B540" s="46">
        <v>2020</v>
      </c>
      <c r="C540" s="45" t="s">
        <v>631</v>
      </c>
      <c r="D540" s="112">
        <v>2</v>
      </c>
    </row>
    <row r="541" spans="2:4" x14ac:dyDescent="0.25">
      <c r="B541" s="46">
        <v>2021</v>
      </c>
      <c r="C541" s="45" t="s">
        <v>631</v>
      </c>
      <c r="D541" s="112">
        <v>19</v>
      </c>
    </row>
    <row r="542" spans="2:4" x14ac:dyDescent="0.25">
      <c r="B542" s="46">
        <v>2018</v>
      </c>
      <c r="C542" s="45" t="s">
        <v>633</v>
      </c>
      <c r="D542" s="115">
        <v>30</v>
      </c>
    </row>
    <row r="543" spans="2:4" x14ac:dyDescent="0.25">
      <c r="B543" s="46">
        <v>2020</v>
      </c>
      <c r="C543" s="45" t="s">
        <v>633</v>
      </c>
      <c r="D543" s="115">
        <v>70</v>
      </c>
    </row>
    <row r="544" spans="2:4" x14ac:dyDescent="0.25">
      <c r="B544" s="46">
        <v>2020</v>
      </c>
      <c r="C544" s="45" t="s">
        <v>633</v>
      </c>
      <c r="D544" s="115">
        <v>25</v>
      </c>
    </row>
    <row r="545" spans="2:4" x14ac:dyDescent="0.25">
      <c r="B545" s="46">
        <v>2020</v>
      </c>
      <c r="C545" s="45" t="s">
        <v>633</v>
      </c>
      <c r="D545" s="115">
        <v>30</v>
      </c>
    </row>
    <row r="546" spans="2:4" x14ac:dyDescent="0.25">
      <c r="B546" s="46">
        <v>2021</v>
      </c>
      <c r="C546" s="45" t="s">
        <v>633</v>
      </c>
      <c r="D546" s="115">
        <v>23</v>
      </c>
    </row>
    <row r="547" spans="2:4" x14ac:dyDescent="0.25">
      <c r="B547" s="46">
        <v>2018</v>
      </c>
      <c r="C547" s="111" t="s">
        <v>636</v>
      </c>
      <c r="D547" s="118">
        <v>3.35</v>
      </c>
    </row>
    <row r="548" spans="2:4" x14ac:dyDescent="0.25">
      <c r="B548" s="93">
        <v>2018</v>
      </c>
      <c r="C548" s="114" t="s">
        <v>636</v>
      </c>
      <c r="D548" s="118">
        <v>128</v>
      </c>
    </row>
    <row r="549" spans="2:4" x14ac:dyDescent="0.25">
      <c r="B549" s="91">
        <v>2018</v>
      </c>
      <c r="C549" s="111" t="s">
        <v>636</v>
      </c>
      <c r="D549" s="112">
        <v>5</v>
      </c>
    </row>
    <row r="550" spans="2:4" x14ac:dyDescent="0.25">
      <c r="B550" s="47">
        <v>2018</v>
      </c>
      <c r="C550" s="115" t="s">
        <v>636</v>
      </c>
      <c r="D550" s="115">
        <v>4.5599999999999996</v>
      </c>
    </row>
    <row r="551" spans="2:4" x14ac:dyDescent="0.25">
      <c r="B551" s="93">
        <v>2019</v>
      </c>
      <c r="C551" s="114" t="s">
        <v>636</v>
      </c>
      <c r="D551" s="118">
        <v>5</v>
      </c>
    </row>
    <row r="552" spans="2:4" x14ac:dyDescent="0.25">
      <c r="B552" s="91">
        <v>2019</v>
      </c>
      <c r="C552" s="115" t="s">
        <v>636</v>
      </c>
      <c r="D552" s="115">
        <v>2.9</v>
      </c>
    </row>
    <row r="553" spans="2:4" x14ac:dyDescent="0.25">
      <c r="B553" s="46">
        <v>2020</v>
      </c>
      <c r="C553" s="152" t="s">
        <v>636</v>
      </c>
      <c r="D553" s="158">
        <v>1.86</v>
      </c>
    </row>
    <row r="554" spans="2:4" x14ac:dyDescent="0.25">
      <c r="B554" s="91">
        <v>2023</v>
      </c>
      <c r="C554" s="114" t="s">
        <v>636</v>
      </c>
      <c r="D554" s="118">
        <v>2</v>
      </c>
    </row>
    <row r="555" spans="2:4" x14ac:dyDescent="0.25">
      <c r="B555" s="46">
        <v>2019</v>
      </c>
      <c r="C555" s="114" t="s">
        <v>638</v>
      </c>
      <c r="D555" s="115">
        <v>40</v>
      </c>
    </row>
    <row r="556" spans="2:4" x14ac:dyDescent="0.25">
      <c r="B556" s="91">
        <v>2019</v>
      </c>
      <c r="C556" s="114" t="s">
        <v>638</v>
      </c>
      <c r="D556" s="115">
        <v>61</v>
      </c>
    </row>
    <row r="557" spans="2:4" x14ac:dyDescent="0.25">
      <c r="B557" s="91">
        <v>2019</v>
      </c>
      <c r="C557" s="114" t="s">
        <v>638</v>
      </c>
      <c r="D557" s="115">
        <v>45</v>
      </c>
    </row>
    <row r="558" spans="2:4" x14ac:dyDescent="0.25">
      <c r="B558" s="91">
        <v>2019</v>
      </c>
      <c r="C558" s="114" t="s">
        <v>638</v>
      </c>
      <c r="D558" s="115">
        <v>73</v>
      </c>
    </row>
    <row r="559" spans="2:4" x14ac:dyDescent="0.25">
      <c r="B559" s="93">
        <v>2019</v>
      </c>
      <c r="C559" s="45" t="s">
        <v>638</v>
      </c>
      <c r="D559" s="115">
        <v>10</v>
      </c>
    </row>
    <row r="560" spans="2:4" x14ac:dyDescent="0.25">
      <c r="B560" s="91">
        <v>2020</v>
      </c>
      <c r="C560" s="111" t="s">
        <v>638</v>
      </c>
      <c r="D560" s="115">
        <v>118</v>
      </c>
    </row>
    <row r="561" spans="2:4" x14ac:dyDescent="0.25">
      <c r="B561" s="93">
        <v>2021</v>
      </c>
      <c r="C561" s="111" t="s">
        <v>638</v>
      </c>
      <c r="D561" s="115">
        <v>31</v>
      </c>
    </row>
    <row r="562" spans="2:4" x14ac:dyDescent="0.25">
      <c r="B562" s="91">
        <v>2021</v>
      </c>
      <c r="C562" s="45" t="s">
        <v>638</v>
      </c>
      <c r="D562" s="115">
        <v>40</v>
      </c>
    </row>
    <row r="563" spans="2:4" x14ac:dyDescent="0.25">
      <c r="B563" s="91">
        <v>2021</v>
      </c>
      <c r="C563" s="45" t="s">
        <v>638</v>
      </c>
      <c r="D563" s="115">
        <v>60</v>
      </c>
    </row>
    <row r="564" spans="2:4" x14ac:dyDescent="0.25">
      <c r="B564" s="46">
        <v>2019</v>
      </c>
      <c r="C564" s="114" t="s">
        <v>668</v>
      </c>
      <c r="D564" s="115">
        <v>25</v>
      </c>
    </row>
    <row r="565" spans="2:4" x14ac:dyDescent="0.25">
      <c r="B565" s="91">
        <v>2019</v>
      </c>
      <c r="C565" s="114" t="s">
        <v>668</v>
      </c>
      <c r="D565" s="115">
        <v>40</v>
      </c>
    </row>
    <row r="566" spans="2:4" x14ac:dyDescent="0.25">
      <c r="B566" s="91">
        <v>2019</v>
      </c>
      <c r="C566" s="114" t="s">
        <v>668</v>
      </c>
      <c r="D566" s="115">
        <v>30</v>
      </c>
    </row>
    <row r="567" spans="2:4" x14ac:dyDescent="0.25">
      <c r="B567" s="91">
        <v>2019</v>
      </c>
      <c r="C567" s="114" t="s">
        <v>668</v>
      </c>
      <c r="D567" s="115">
        <v>50</v>
      </c>
    </row>
    <row r="568" spans="2:4" x14ac:dyDescent="0.25">
      <c r="B568" s="93">
        <v>2019</v>
      </c>
      <c r="C568" s="114" t="s">
        <v>668</v>
      </c>
      <c r="D568" s="115">
        <v>8</v>
      </c>
    </row>
    <row r="569" spans="2:4" x14ac:dyDescent="0.25">
      <c r="B569" s="91">
        <v>2020</v>
      </c>
      <c r="C569" s="114" t="s">
        <v>668</v>
      </c>
      <c r="D569" s="115">
        <v>78</v>
      </c>
    </row>
    <row r="570" spans="2:4" x14ac:dyDescent="0.25">
      <c r="B570" s="93">
        <v>2021</v>
      </c>
      <c r="C570" s="114" t="s">
        <v>668</v>
      </c>
      <c r="D570" s="115">
        <v>23</v>
      </c>
    </row>
    <row r="571" spans="2:4" x14ac:dyDescent="0.25">
      <c r="B571" s="91">
        <v>2021</v>
      </c>
      <c r="C571" s="114" t="s">
        <v>668</v>
      </c>
      <c r="D571" s="115">
        <v>25</v>
      </c>
    </row>
    <row r="572" spans="2:4" x14ac:dyDescent="0.25">
      <c r="B572" s="91">
        <v>2021</v>
      </c>
      <c r="C572" s="114" t="s">
        <v>668</v>
      </c>
      <c r="D572" s="115">
        <v>20</v>
      </c>
    </row>
    <row r="573" spans="2:4" x14ac:dyDescent="0.25">
      <c r="B573" s="96">
        <v>2017</v>
      </c>
      <c r="C573" s="114" t="s">
        <v>703</v>
      </c>
      <c r="D573" s="115">
        <v>7.9899999999999999E-2</v>
      </c>
    </row>
    <row r="574" spans="2:4" x14ac:dyDescent="0.25">
      <c r="B574" s="95">
        <v>2018</v>
      </c>
      <c r="C574" s="114" t="s">
        <v>703</v>
      </c>
      <c r="D574" s="115">
        <v>2.1122369999999999E-3</v>
      </c>
    </row>
    <row r="575" spans="2:4" x14ac:dyDescent="0.25">
      <c r="B575" s="97">
        <v>2018</v>
      </c>
      <c r="C575" s="126" t="s">
        <v>703</v>
      </c>
      <c r="D575" s="129">
        <v>2.4699499999999998E-3</v>
      </c>
    </row>
    <row r="576" spans="2:4" x14ac:dyDescent="0.25">
      <c r="B576" s="95">
        <v>2019</v>
      </c>
      <c r="C576" s="113" t="s">
        <v>703</v>
      </c>
      <c r="D576" s="115">
        <v>1.7041000000000001E-2</v>
      </c>
    </row>
    <row r="577" spans="2:4" x14ac:dyDescent="0.25">
      <c r="B577" s="91">
        <v>2019</v>
      </c>
      <c r="C577" s="115" t="s">
        <v>703</v>
      </c>
      <c r="D577" s="113">
        <v>3.0999999999999999E-3</v>
      </c>
    </row>
    <row r="578" spans="2:4" x14ac:dyDescent="0.25">
      <c r="B578" s="92">
        <v>2019</v>
      </c>
      <c r="C578" s="115" t="s">
        <v>703</v>
      </c>
      <c r="D578" s="115">
        <v>4.86E-4</v>
      </c>
    </row>
    <row r="579" spans="2:4" x14ac:dyDescent="0.25">
      <c r="B579" s="95">
        <v>2019</v>
      </c>
      <c r="C579" s="114" t="s">
        <v>703</v>
      </c>
      <c r="D579" s="115">
        <v>1.72364E-3</v>
      </c>
    </row>
    <row r="580" spans="2:4" x14ac:dyDescent="0.25">
      <c r="B580" s="97">
        <v>2019</v>
      </c>
      <c r="C580" s="114" t="s">
        <v>703</v>
      </c>
      <c r="D580" s="115">
        <v>2.1998109999999999E-3</v>
      </c>
    </row>
    <row r="581" spans="2:4" x14ac:dyDescent="0.25">
      <c r="B581" s="92">
        <v>2019</v>
      </c>
      <c r="C581" s="114" t="s">
        <v>703</v>
      </c>
      <c r="D581" s="115">
        <v>1.2813779999999999E-3</v>
      </c>
    </row>
    <row r="582" spans="2:4" x14ac:dyDescent="0.25">
      <c r="B582" s="91">
        <v>2020</v>
      </c>
      <c r="C582" s="113" t="s">
        <v>703</v>
      </c>
      <c r="D582" s="113">
        <v>0.5</v>
      </c>
    </row>
    <row r="583" spans="2:4" x14ac:dyDescent="0.25">
      <c r="B583" s="91">
        <v>2020</v>
      </c>
      <c r="C583" s="115" t="s">
        <v>703</v>
      </c>
      <c r="D583" s="113">
        <v>0.34169498799999998</v>
      </c>
    </row>
    <row r="584" spans="2:4" x14ac:dyDescent="0.25">
      <c r="B584" s="91">
        <v>2020</v>
      </c>
      <c r="C584" s="115" t="s">
        <v>703</v>
      </c>
      <c r="D584" s="113">
        <v>0.09</v>
      </c>
    </row>
    <row r="585" spans="2:4" x14ac:dyDescent="0.25">
      <c r="B585" s="92">
        <v>2020</v>
      </c>
      <c r="C585" s="115" t="s">
        <v>703</v>
      </c>
      <c r="D585" s="115">
        <v>2.433E-4</v>
      </c>
    </row>
    <row r="586" spans="2:4" x14ac:dyDescent="0.25">
      <c r="B586" s="92">
        <v>2020</v>
      </c>
      <c r="C586" s="114" t="s">
        <v>703</v>
      </c>
      <c r="D586" s="115">
        <v>3.8284439999999999E-3</v>
      </c>
    </row>
    <row r="587" spans="2:4" x14ac:dyDescent="0.25">
      <c r="B587" s="94">
        <v>2023</v>
      </c>
      <c r="C587" s="113" t="s">
        <v>703</v>
      </c>
      <c r="D587" s="115">
        <v>1.8509599999999999E-4</v>
      </c>
    </row>
    <row r="588" spans="2:4" x14ac:dyDescent="0.25">
      <c r="B588" s="46">
        <v>2017</v>
      </c>
      <c r="C588" s="111" t="s">
        <v>877</v>
      </c>
      <c r="D588" s="118">
        <v>1</v>
      </c>
    </row>
    <row r="589" spans="2:4" x14ac:dyDescent="0.25">
      <c r="B589" s="46">
        <v>2020</v>
      </c>
      <c r="C589" s="111" t="s">
        <v>877</v>
      </c>
      <c r="D589" s="118">
        <v>1</v>
      </c>
    </row>
    <row r="590" spans="2:4" x14ac:dyDescent="0.25">
      <c r="B590" s="46">
        <v>2020</v>
      </c>
      <c r="C590" s="111" t="s">
        <v>878</v>
      </c>
      <c r="D590" s="118">
        <v>1</v>
      </c>
    </row>
    <row r="591" spans="2:4" x14ac:dyDescent="0.25">
      <c r="B591" s="46">
        <v>2020</v>
      </c>
      <c r="C591" s="111" t="s">
        <v>879</v>
      </c>
      <c r="D591" s="118">
        <v>1</v>
      </c>
    </row>
    <row r="592" spans="2:4" x14ac:dyDescent="0.25">
      <c r="B592" s="46">
        <v>2018</v>
      </c>
      <c r="C592" s="111" t="s">
        <v>880</v>
      </c>
      <c r="D592" s="118">
        <v>1</v>
      </c>
    </row>
    <row r="593" spans="2:4" x14ac:dyDescent="0.25">
      <c r="B593" s="46">
        <v>2018</v>
      </c>
      <c r="C593" s="111" t="s">
        <v>881</v>
      </c>
      <c r="D593" s="118">
        <v>1</v>
      </c>
    </row>
    <row r="594" spans="2:4" x14ac:dyDescent="0.25">
      <c r="B594" s="102">
        <v>2017</v>
      </c>
      <c r="C594" s="111" t="s">
        <v>882</v>
      </c>
      <c r="D594" s="112">
        <v>1</v>
      </c>
    </row>
    <row r="595" spans="2:4" x14ac:dyDescent="0.25">
      <c r="B595" s="92">
        <v>2015</v>
      </c>
      <c r="C595" s="115"/>
      <c r="D595" s="115"/>
    </row>
    <row r="596" spans="2:4" x14ac:dyDescent="0.25">
      <c r="B596" s="92">
        <v>2015</v>
      </c>
      <c r="C596" s="114"/>
      <c r="D596" s="115"/>
    </row>
    <row r="597" spans="2:4" x14ac:dyDescent="0.25">
      <c r="B597" s="92">
        <v>2015</v>
      </c>
      <c r="C597" s="114"/>
      <c r="D597" s="114"/>
    </row>
    <row r="598" spans="2:4" x14ac:dyDescent="0.25">
      <c r="B598" s="91">
        <v>2016</v>
      </c>
      <c r="C598" s="113"/>
      <c r="D598" s="113"/>
    </row>
    <row r="599" spans="2:4" x14ac:dyDescent="0.25">
      <c r="B599" s="91">
        <v>2016</v>
      </c>
      <c r="C599" s="113"/>
      <c r="D599" s="113"/>
    </row>
    <row r="600" spans="2:4" x14ac:dyDescent="0.25">
      <c r="B600" s="92">
        <v>2017</v>
      </c>
      <c r="C600" s="115"/>
      <c r="D600" s="115"/>
    </row>
    <row r="601" spans="2:4" x14ac:dyDescent="0.25">
      <c r="B601" s="93">
        <v>2017</v>
      </c>
      <c r="C601" s="115"/>
      <c r="D601" s="115"/>
    </row>
    <row r="602" spans="2:4" x14ac:dyDescent="0.25">
      <c r="B602" s="96">
        <v>2017</v>
      </c>
      <c r="C602" s="123"/>
      <c r="D602" s="123"/>
    </row>
    <row r="603" spans="2:4" x14ac:dyDescent="0.25">
      <c r="B603" s="91">
        <v>2017</v>
      </c>
      <c r="C603" s="131"/>
      <c r="D603" s="131"/>
    </row>
    <row r="604" spans="2:4" x14ac:dyDescent="0.25">
      <c r="B604" s="46">
        <v>2017</v>
      </c>
      <c r="C604" s="115"/>
      <c r="D604" s="115"/>
    </row>
    <row r="605" spans="2:4" x14ac:dyDescent="0.25">
      <c r="B605" s="102">
        <v>2017</v>
      </c>
      <c r="C605" s="115"/>
      <c r="D605" s="115"/>
    </row>
    <row r="606" spans="2:4" x14ac:dyDescent="0.25">
      <c r="B606" s="91">
        <v>2017</v>
      </c>
      <c r="C606" s="115"/>
      <c r="D606" s="115"/>
    </row>
    <row r="607" spans="2:4" x14ac:dyDescent="0.25">
      <c r="B607" s="91">
        <v>2017</v>
      </c>
      <c r="C607" s="115"/>
      <c r="D607" s="115"/>
    </row>
    <row r="608" spans="2:4" x14ac:dyDescent="0.25">
      <c r="B608" s="92">
        <v>2017</v>
      </c>
      <c r="C608" s="114"/>
      <c r="D608" s="115"/>
    </row>
    <row r="609" spans="2:4" x14ac:dyDescent="0.25">
      <c r="B609" s="93">
        <v>2017</v>
      </c>
      <c r="C609" s="114"/>
      <c r="D609" s="115"/>
    </row>
    <row r="610" spans="2:4" x14ac:dyDescent="0.25">
      <c r="B610" s="96">
        <v>2017</v>
      </c>
      <c r="C610" s="114"/>
      <c r="D610" s="115"/>
    </row>
    <row r="611" spans="2:4" x14ac:dyDescent="0.25">
      <c r="B611" s="91">
        <v>2017</v>
      </c>
      <c r="C611" s="124"/>
      <c r="D611" s="125"/>
    </row>
    <row r="612" spans="2:4" x14ac:dyDescent="0.25">
      <c r="B612" s="46">
        <v>2017</v>
      </c>
      <c r="C612" s="114"/>
      <c r="D612" s="115"/>
    </row>
    <row r="613" spans="2:4" x14ac:dyDescent="0.25">
      <c r="B613" s="102">
        <v>2017</v>
      </c>
      <c r="C613" s="114"/>
      <c r="D613" s="115"/>
    </row>
    <row r="614" spans="2:4" x14ac:dyDescent="0.25">
      <c r="B614" s="91">
        <v>2017</v>
      </c>
      <c r="C614" s="114"/>
      <c r="D614" s="115"/>
    </row>
    <row r="615" spans="2:4" x14ac:dyDescent="0.25">
      <c r="B615" s="91">
        <v>2017</v>
      </c>
      <c r="C615" s="114"/>
      <c r="D615" s="115"/>
    </row>
    <row r="616" spans="2:4" x14ac:dyDescent="0.25">
      <c r="B616" s="92">
        <v>2017</v>
      </c>
      <c r="C616" s="114"/>
      <c r="D616" s="114"/>
    </row>
    <row r="617" spans="2:4" x14ac:dyDescent="0.25">
      <c r="B617" s="93">
        <v>2017</v>
      </c>
      <c r="C617" s="114"/>
      <c r="D617" s="114"/>
    </row>
    <row r="618" spans="2:4" x14ac:dyDescent="0.25">
      <c r="B618" s="96">
        <v>2017</v>
      </c>
      <c r="C618" s="114"/>
      <c r="D618" s="114"/>
    </row>
    <row r="619" spans="2:4" x14ac:dyDescent="0.25">
      <c r="B619" s="96">
        <v>2017</v>
      </c>
      <c r="C619" s="114"/>
      <c r="D619" s="114"/>
    </row>
    <row r="620" spans="2:4" x14ac:dyDescent="0.25">
      <c r="B620" s="91">
        <v>2017</v>
      </c>
      <c r="C620" s="124"/>
      <c r="D620" s="124"/>
    </row>
    <row r="621" spans="2:4" x14ac:dyDescent="0.25">
      <c r="B621" s="46">
        <v>2017</v>
      </c>
      <c r="C621" s="114"/>
      <c r="D621" s="114"/>
    </row>
    <row r="622" spans="2:4" x14ac:dyDescent="0.25">
      <c r="B622" s="102">
        <v>2017</v>
      </c>
      <c r="C622" s="114"/>
      <c r="D622" s="114"/>
    </row>
    <row r="623" spans="2:4" x14ac:dyDescent="0.25">
      <c r="B623" s="91">
        <v>2017</v>
      </c>
      <c r="C623" s="114"/>
      <c r="D623" s="114"/>
    </row>
    <row r="624" spans="2:4" x14ac:dyDescent="0.25">
      <c r="B624" s="91">
        <v>2017</v>
      </c>
      <c r="C624" s="114"/>
      <c r="D624" s="114"/>
    </row>
    <row r="625" spans="2:4" x14ac:dyDescent="0.25">
      <c r="B625" s="46">
        <v>2017</v>
      </c>
      <c r="C625" s="114"/>
      <c r="D625" s="114"/>
    </row>
    <row r="626" spans="2:4" x14ac:dyDescent="0.25">
      <c r="B626" s="102">
        <v>2018</v>
      </c>
      <c r="C626" s="142"/>
      <c r="D626" s="143"/>
    </row>
    <row r="627" spans="2:4" x14ac:dyDescent="0.25">
      <c r="B627" s="89"/>
      <c r="C627" s="116"/>
      <c r="D627" s="117"/>
    </row>
    <row r="628" spans="2:4" x14ac:dyDescent="0.25">
      <c r="B628" s="95">
        <v>2018</v>
      </c>
      <c r="C628" s="115"/>
      <c r="D628" s="115"/>
    </row>
    <row r="629" spans="2:4" x14ac:dyDescent="0.25">
      <c r="B629" s="95">
        <v>2018</v>
      </c>
      <c r="C629" s="115"/>
      <c r="D629" s="115"/>
    </row>
    <row r="630" spans="2:4" x14ac:dyDescent="0.25">
      <c r="B630" s="93">
        <v>2018</v>
      </c>
      <c r="C630" s="115"/>
      <c r="D630" s="115"/>
    </row>
    <row r="631" spans="2:4" x14ac:dyDescent="0.25">
      <c r="B631" s="95">
        <v>2018</v>
      </c>
      <c r="C631" s="113"/>
      <c r="D631" s="113"/>
    </row>
    <row r="632" spans="2:4" x14ac:dyDescent="0.25">
      <c r="B632" s="91">
        <v>2018</v>
      </c>
      <c r="C632" s="115"/>
      <c r="D632" s="115"/>
    </row>
    <row r="633" spans="2:4" x14ac:dyDescent="0.25">
      <c r="B633" s="93">
        <v>2018</v>
      </c>
      <c r="C633" s="115"/>
      <c r="D633" s="115"/>
    </row>
    <row r="634" spans="2:4" x14ac:dyDescent="0.25">
      <c r="B634" s="94">
        <v>2018</v>
      </c>
      <c r="C634" s="113"/>
      <c r="D634" s="113"/>
    </row>
    <row r="635" spans="2:4" x14ac:dyDescent="0.25">
      <c r="B635" s="95">
        <v>2018</v>
      </c>
      <c r="C635" s="113"/>
      <c r="D635" s="122"/>
    </row>
    <row r="636" spans="2:4" x14ac:dyDescent="0.25">
      <c r="B636" s="91">
        <v>2018</v>
      </c>
      <c r="C636" s="115"/>
      <c r="D636" s="115"/>
    </row>
    <row r="637" spans="2:4" x14ac:dyDescent="0.25">
      <c r="B637" s="91">
        <v>2018</v>
      </c>
      <c r="C637" s="115"/>
      <c r="D637" s="115"/>
    </row>
    <row r="638" spans="2:4" x14ac:dyDescent="0.25">
      <c r="B638" s="91">
        <v>2018</v>
      </c>
      <c r="C638" s="115"/>
      <c r="D638" s="115"/>
    </row>
    <row r="639" spans="2:4" x14ac:dyDescent="0.25">
      <c r="B639" s="91">
        <v>2018</v>
      </c>
      <c r="C639" s="115"/>
      <c r="D639" s="115"/>
    </row>
    <row r="640" spans="2:4" x14ac:dyDescent="0.25">
      <c r="B640" s="95">
        <v>2018</v>
      </c>
      <c r="C640" s="115"/>
      <c r="D640" s="115"/>
    </row>
    <row r="641" spans="2:4" x14ac:dyDescent="0.25">
      <c r="B641" s="91">
        <v>2018</v>
      </c>
      <c r="C641" s="114"/>
      <c r="D641" s="115"/>
    </row>
    <row r="642" spans="2:4" x14ac:dyDescent="0.25">
      <c r="B642" s="91">
        <v>2018</v>
      </c>
      <c r="C642" s="114"/>
      <c r="D642" s="115"/>
    </row>
    <row r="643" spans="2:4" x14ac:dyDescent="0.25">
      <c r="B643" s="91">
        <v>2018</v>
      </c>
      <c r="C643" s="115"/>
      <c r="D643" s="115"/>
    </row>
    <row r="644" spans="2:4" x14ac:dyDescent="0.25">
      <c r="B644" s="91">
        <v>2018</v>
      </c>
      <c r="C644" s="115"/>
      <c r="D644" s="115"/>
    </row>
    <row r="645" spans="2:4" x14ac:dyDescent="0.25">
      <c r="B645" s="102">
        <v>2018</v>
      </c>
      <c r="C645" s="144"/>
      <c r="D645" s="144"/>
    </row>
    <row r="646" spans="2:4" x14ac:dyDescent="0.25">
      <c r="B646" s="46">
        <v>2018</v>
      </c>
      <c r="C646" s="115"/>
      <c r="D646" s="115"/>
    </row>
    <row r="647" spans="2:4" x14ac:dyDescent="0.25">
      <c r="B647" s="46">
        <v>2018</v>
      </c>
      <c r="C647" s="115"/>
      <c r="D647" s="115"/>
    </row>
    <row r="648" spans="2:4" x14ac:dyDescent="0.25">
      <c r="B648" s="93">
        <v>2018</v>
      </c>
      <c r="C648" s="115"/>
      <c r="D648" s="115"/>
    </row>
    <row r="649" spans="2:4" x14ac:dyDescent="0.25">
      <c r="B649" s="98">
        <v>2018</v>
      </c>
      <c r="C649" s="115"/>
      <c r="D649" s="115"/>
    </row>
    <row r="650" spans="2:4" x14ac:dyDescent="0.25">
      <c r="B650" s="91">
        <v>2018</v>
      </c>
      <c r="C650" s="115"/>
      <c r="D650" s="115"/>
    </row>
    <row r="651" spans="2:4" x14ac:dyDescent="0.25">
      <c r="B651" s="91">
        <v>2018</v>
      </c>
      <c r="C651" s="115"/>
      <c r="D651" s="115"/>
    </row>
    <row r="652" spans="2:4" x14ac:dyDescent="0.25">
      <c r="B652" s="46">
        <v>2018</v>
      </c>
      <c r="C652" s="115"/>
      <c r="D652" s="115"/>
    </row>
    <row r="653" spans="2:4" x14ac:dyDescent="0.25">
      <c r="B653" s="101">
        <v>2018</v>
      </c>
      <c r="C653" s="115"/>
      <c r="D653" s="115"/>
    </row>
    <row r="654" spans="2:4" x14ac:dyDescent="0.25">
      <c r="B654" s="50">
        <v>2018</v>
      </c>
      <c r="C654" s="115"/>
      <c r="D654" s="115"/>
    </row>
    <row r="655" spans="2:4" x14ac:dyDescent="0.25">
      <c r="B655" s="102">
        <v>2018</v>
      </c>
      <c r="C655" s="115"/>
      <c r="D655" s="115"/>
    </row>
    <row r="656" spans="2:4" x14ac:dyDescent="0.25">
      <c r="B656" s="97">
        <v>2018</v>
      </c>
      <c r="C656" s="115"/>
      <c r="D656" s="115"/>
    </row>
    <row r="657" spans="2:4" x14ac:dyDescent="0.25">
      <c r="B657" s="97">
        <v>2018</v>
      </c>
      <c r="C657" s="115"/>
      <c r="D657" s="115"/>
    </row>
    <row r="658" spans="2:4" x14ac:dyDescent="0.25">
      <c r="B658" s="99">
        <v>2018</v>
      </c>
      <c r="C658" s="115"/>
      <c r="D658" s="115"/>
    </row>
    <row r="659" spans="2:4" x14ac:dyDescent="0.25">
      <c r="B659" s="91">
        <v>2018</v>
      </c>
      <c r="C659" s="115"/>
      <c r="D659" s="115"/>
    </row>
    <row r="660" spans="2:4" x14ac:dyDescent="0.25">
      <c r="B660" s="91">
        <v>2018</v>
      </c>
      <c r="C660" s="115"/>
      <c r="D660" s="115"/>
    </row>
    <row r="661" spans="2:4" x14ac:dyDescent="0.25">
      <c r="B661" s="95">
        <v>2018</v>
      </c>
      <c r="C661" s="114"/>
      <c r="D661" s="115"/>
    </row>
    <row r="662" spans="2:4" x14ac:dyDescent="0.25">
      <c r="B662" s="95">
        <v>2018</v>
      </c>
      <c r="C662" s="114"/>
      <c r="D662" s="115"/>
    </row>
    <row r="663" spans="2:4" x14ac:dyDescent="0.25">
      <c r="B663" s="93">
        <v>2018</v>
      </c>
      <c r="C663" s="114"/>
      <c r="D663" s="115"/>
    </row>
    <row r="664" spans="2:4" x14ac:dyDescent="0.25">
      <c r="B664" s="95">
        <v>2018</v>
      </c>
      <c r="C664" s="111"/>
      <c r="D664" s="113"/>
    </row>
    <row r="665" spans="2:4" x14ac:dyDescent="0.25">
      <c r="B665" s="91">
        <v>2018</v>
      </c>
      <c r="C665" s="114"/>
      <c r="D665" s="115"/>
    </row>
    <row r="666" spans="2:4" x14ac:dyDescent="0.25">
      <c r="B666" s="93">
        <v>2018</v>
      </c>
      <c r="C666" s="114"/>
      <c r="D666" s="115"/>
    </row>
    <row r="667" spans="2:4" x14ac:dyDescent="0.25">
      <c r="B667" s="94">
        <v>2018</v>
      </c>
      <c r="C667" s="114"/>
      <c r="D667" s="115"/>
    </row>
    <row r="668" spans="2:4" x14ac:dyDescent="0.25">
      <c r="B668" s="95">
        <v>2018</v>
      </c>
      <c r="C668" s="111"/>
      <c r="D668" s="113"/>
    </row>
    <row r="669" spans="2:4" x14ac:dyDescent="0.25">
      <c r="B669" s="91">
        <v>2018</v>
      </c>
      <c r="C669" s="114"/>
      <c r="D669" s="115"/>
    </row>
    <row r="670" spans="2:4" x14ac:dyDescent="0.25">
      <c r="B670" s="91">
        <v>2018</v>
      </c>
      <c r="C670" s="114"/>
      <c r="D670" s="115"/>
    </row>
    <row r="671" spans="2:4" x14ac:dyDescent="0.25">
      <c r="B671" s="91">
        <v>2018</v>
      </c>
      <c r="C671" s="114"/>
      <c r="D671" s="115"/>
    </row>
    <row r="672" spans="2:4" x14ac:dyDescent="0.25">
      <c r="B672" s="91">
        <v>2018</v>
      </c>
      <c r="C672" s="114"/>
      <c r="D672" s="115"/>
    </row>
    <row r="673" spans="2:4" x14ac:dyDescent="0.25">
      <c r="B673" s="95">
        <v>2018</v>
      </c>
      <c r="C673" s="114"/>
      <c r="D673" s="115"/>
    </row>
    <row r="674" spans="2:4" x14ac:dyDescent="0.25">
      <c r="B674" s="91">
        <v>2018</v>
      </c>
      <c r="C674" s="114"/>
      <c r="D674" s="115"/>
    </row>
    <row r="675" spans="2:4" x14ac:dyDescent="0.25">
      <c r="B675" s="91">
        <v>2018</v>
      </c>
      <c r="C675" s="114"/>
      <c r="D675" s="115"/>
    </row>
    <row r="676" spans="2:4" x14ac:dyDescent="0.25">
      <c r="B676" s="91">
        <v>2018</v>
      </c>
      <c r="C676" s="114"/>
      <c r="D676" s="115"/>
    </row>
    <row r="677" spans="2:4" x14ac:dyDescent="0.25">
      <c r="B677" s="91">
        <v>2018</v>
      </c>
      <c r="C677" s="114"/>
      <c r="D677" s="115"/>
    </row>
    <row r="678" spans="2:4" x14ac:dyDescent="0.25">
      <c r="B678" s="102">
        <v>2018</v>
      </c>
      <c r="C678" s="142"/>
      <c r="D678" s="144"/>
    </row>
    <row r="679" spans="2:4" x14ac:dyDescent="0.25">
      <c r="B679" s="46">
        <v>2018</v>
      </c>
      <c r="C679" s="114"/>
      <c r="D679" s="115"/>
    </row>
    <row r="680" spans="2:4" x14ac:dyDescent="0.25">
      <c r="B680" s="46">
        <v>2018</v>
      </c>
      <c r="C680" s="114"/>
      <c r="D680" s="115"/>
    </row>
    <row r="681" spans="2:4" x14ac:dyDescent="0.25">
      <c r="B681" s="46">
        <v>2018</v>
      </c>
      <c r="C681" s="45"/>
      <c r="D681" s="113"/>
    </row>
    <row r="682" spans="2:4" x14ac:dyDescent="0.25">
      <c r="B682" s="93">
        <v>2018</v>
      </c>
      <c r="C682" s="114"/>
      <c r="D682" s="115"/>
    </row>
    <row r="683" spans="2:4" x14ac:dyDescent="0.25">
      <c r="B683" s="98">
        <v>2018</v>
      </c>
      <c r="C683" s="114"/>
      <c r="D683" s="115"/>
    </row>
    <row r="684" spans="2:4" x14ac:dyDescent="0.25">
      <c r="B684" s="91">
        <v>2018</v>
      </c>
      <c r="C684" s="114"/>
      <c r="D684" s="115"/>
    </row>
    <row r="685" spans="2:4" x14ac:dyDescent="0.25">
      <c r="B685" s="91">
        <v>2018</v>
      </c>
      <c r="C685" s="114"/>
      <c r="D685" s="115"/>
    </row>
    <row r="686" spans="2:4" x14ac:dyDescent="0.25">
      <c r="B686" s="46">
        <v>2018</v>
      </c>
      <c r="C686" s="114"/>
      <c r="D686" s="115"/>
    </row>
    <row r="687" spans="2:4" x14ac:dyDescent="0.25">
      <c r="B687" s="46">
        <v>2018</v>
      </c>
      <c r="C687" s="114"/>
      <c r="D687" s="151"/>
    </row>
    <row r="688" spans="2:4" x14ac:dyDescent="0.25">
      <c r="B688" s="46">
        <v>2018</v>
      </c>
      <c r="C688" s="114"/>
      <c r="D688" s="115"/>
    </row>
    <row r="689" spans="2:4" x14ac:dyDescent="0.25">
      <c r="B689" s="46">
        <v>2018</v>
      </c>
      <c r="C689" s="114"/>
      <c r="D689" s="115"/>
    </row>
    <row r="690" spans="2:4" x14ac:dyDescent="0.25">
      <c r="B690" s="46">
        <v>2018</v>
      </c>
      <c r="C690" s="114"/>
      <c r="D690" s="115"/>
    </row>
    <row r="691" spans="2:4" x14ac:dyDescent="0.25">
      <c r="B691" s="46">
        <v>2018</v>
      </c>
      <c r="C691" s="114"/>
      <c r="D691" s="115"/>
    </row>
    <row r="692" spans="2:4" x14ac:dyDescent="0.25">
      <c r="B692" s="101">
        <v>2018</v>
      </c>
      <c r="C692" s="114"/>
      <c r="D692" s="115"/>
    </row>
    <row r="693" spans="2:4" x14ac:dyDescent="0.25">
      <c r="B693" s="50">
        <v>2018</v>
      </c>
      <c r="C693" s="114"/>
      <c r="D693" s="115"/>
    </row>
    <row r="694" spans="2:4" x14ac:dyDescent="0.25">
      <c r="B694" s="102">
        <v>2018</v>
      </c>
      <c r="C694" s="114"/>
      <c r="D694" s="115"/>
    </row>
    <row r="695" spans="2:4" x14ac:dyDescent="0.25">
      <c r="B695" s="97">
        <v>2018</v>
      </c>
      <c r="C695" s="114"/>
      <c r="D695" s="115"/>
    </row>
    <row r="696" spans="2:4" x14ac:dyDescent="0.25">
      <c r="B696" s="97">
        <v>2018</v>
      </c>
      <c r="C696" s="114"/>
      <c r="D696" s="115"/>
    </row>
    <row r="697" spans="2:4" x14ac:dyDescent="0.25">
      <c r="B697" s="99">
        <v>2018</v>
      </c>
      <c r="C697" s="114"/>
      <c r="D697" s="115"/>
    </row>
    <row r="698" spans="2:4" x14ac:dyDescent="0.25">
      <c r="B698" s="91">
        <v>2018</v>
      </c>
      <c r="C698" s="114"/>
      <c r="D698" s="115"/>
    </row>
    <row r="699" spans="2:4" x14ac:dyDescent="0.25">
      <c r="B699" s="47">
        <v>2018</v>
      </c>
      <c r="C699" s="114"/>
      <c r="D699" s="115"/>
    </row>
    <row r="700" spans="2:4" x14ac:dyDescent="0.25">
      <c r="B700" s="47">
        <v>2018</v>
      </c>
      <c r="C700" s="114"/>
      <c r="D700" s="115"/>
    </row>
    <row r="701" spans="2:4" x14ac:dyDescent="0.25">
      <c r="B701" s="46">
        <v>2018</v>
      </c>
      <c r="C701" s="114"/>
      <c r="D701" s="115"/>
    </row>
    <row r="702" spans="2:4" x14ac:dyDescent="0.25">
      <c r="B702" s="46">
        <v>2018</v>
      </c>
      <c r="C702" s="114"/>
      <c r="D702" s="115"/>
    </row>
    <row r="703" spans="2:4" x14ac:dyDescent="0.25">
      <c r="B703" s="46">
        <v>2018</v>
      </c>
      <c r="C703" s="114"/>
      <c r="D703" s="115"/>
    </row>
    <row r="704" spans="2:4" x14ac:dyDescent="0.25">
      <c r="B704" s="93">
        <v>2018</v>
      </c>
      <c r="C704" s="114"/>
      <c r="D704" s="115"/>
    </row>
    <row r="705" spans="2:4" x14ac:dyDescent="0.25">
      <c r="B705" s="91">
        <v>2018</v>
      </c>
      <c r="C705" s="114"/>
      <c r="D705" s="115"/>
    </row>
    <row r="706" spans="2:4" x14ac:dyDescent="0.25">
      <c r="B706" s="91">
        <v>2018</v>
      </c>
      <c r="C706" s="114"/>
      <c r="D706" s="115"/>
    </row>
    <row r="707" spans="2:4" x14ac:dyDescent="0.25">
      <c r="B707" s="95">
        <v>2018</v>
      </c>
      <c r="C707" s="114"/>
      <c r="D707" s="114"/>
    </row>
    <row r="708" spans="2:4" x14ac:dyDescent="0.25">
      <c r="B708" s="95">
        <v>2018</v>
      </c>
      <c r="C708" s="114"/>
      <c r="D708" s="114"/>
    </row>
    <row r="709" spans="2:4" x14ac:dyDescent="0.25">
      <c r="B709" s="93">
        <v>2018</v>
      </c>
      <c r="C709" s="114"/>
      <c r="D709" s="114"/>
    </row>
    <row r="710" spans="2:4" x14ac:dyDescent="0.25">
      <c r="B710" s="95">
        <v>2018</v>
      </c>
      <c r="C710" s="114"/>
      <c r="D710" s="114"/>
    </row>
    <row r="711" spans="2:4" x14ac:dyDescent="0.25">
      <c r="B711" s="91">
        <v>2018</v>
      </c>
      <c r="C711" s="114"/>
      <c r="D711" s="114"/>
    </row>
    <row r="712" spans="2:4" x14ac:dyDescent="0.25">
      <c r="B712" s="93">
        <v>2018</v>
      </c>
      <c r="C712" s="114"/>
      <c r="D712" s="114"/>
    </row>
    <row r="713" spans="2:4" x14ac:dyDescent="0.25">
      <c r="B713" s="94">
        <v>2018</v>
      </c>
      <c r="C713" s="114"/>
      <c r="D713" s="114"/>
    </row>
    <row r="714" spans="2:4" x14ac:dyDescent="0.25">
      <c r="B714" s="95">
        <v>2018</v>
      </c>
      <c r="C714" s="114"/>
      <c r="D714" s="114"/>
    </row>
    <row r="715" spans="2:4" x14ac:dyDescent="0.25">
      <c r="B715" s="95">
        <v>2018</v>
      </c>
      <c r="C715" s="114"/>
      <c r="D715" s="114"/>
    </row>
    <row r="716" spans="2:4" x14ac:dyDescent="0.25">
      <c r="B716" s="97">
        <v>2018</v>
      </c>
      <c r="C716" s="114"/>
      <c r="D716" s="114"/>
    </row>
    <row r="717" spans="2:4" x14ac:dyDescent="0.25">
      <c r="B717" s="91">
        <v>2018</v>
      </c>
      <c r="C717" s="114"/>
      <c r="D717" s="114"/>
    </row>
    <row r="718" spans="2:4" x14ac:dyDescent="0.25">
      <c r="B718" s="91">
        <v>2018</v>
      </c>
      <c r="C718" s="114"/>
      <c r="D718" s="114"/>
    </row>
    <row r="719" spans="2:4" x14ac:dyDescent="0.25">
      <c r="B719" s="91">
        <v>2018</v>
      </c>
      <c r="C719" s="114"/>
      <c r="D719" s="114"/>
    </row>
    <row r="720" spans="2:4" x14ac:dyDescent="0.25">
      <c r="B720" s="91">
        <v>2018</v>
      </c>
      <c r="C720" s="114"/>
      <c r="D720" s="114"/>
    </row>
    <row r="721" spans="2:4" x14ac:dyDescent="0.25">
      <c r="B721" s="95">
        <v>2018</v>
      </c>
      <c r="C721" s="114"/>
      <c r="D721" s="114"/>
    </row>
    <row r="722" spans="2:4" x14ac:dyDescent="0.25">
      <c r="B722" s="91">
        <v>2018</v>
      </c>
      <c r="C722" s="114"/>
      <c r="D722" s="114"/>
    </row>
    <row r="723" spans="2:4" x14ac:dyDescent="0.25">
      <c r="B723" s="91">
        <v>2018</v>
      </c>
      <c r="C723" s="114"/>
      <c r="D723" s="114"/>
    </row>
    <row r="724" spans="2:4" x14ac:dyDescent="0.25">
      <c r="B724" s="91">
        <v>2018</v>
      </c>
      <c r="C724" s="114"/>
      <c r="D724" s="114"/>
    </row>
    <row r="725" spans="2:4" x14ac:dyDescent="0.25">
      <c r="B725" s="91">
        <v>2018</v>
      </c>
      <c r="C725" s="114"/>
      <c r="D725" s="114"/>
    </row>
    <row r="726" spans="2:4" x14ac:dyDescent="0.25">
      <c r="B726" s="102">
        <v>2018</v>
      </c>
      <c r="C726" s="114"/>
      <c r="D726" s="114"/>
    </row>
    <row r="727" spans="2:4" x14ac:dyDescent="0.25">
      <c r="B727" s="46">
        <v>2018</v>
      </c>
      <c r="C727" s="114"/>
      <c r="D727" s="114"/>
    </row>
    <row r="728" spans="2:4" x14ac:dyDescent="0.25">
      <c r="B728" s="46">
        <v>2018</v>
      </c>
      <c r="C728" s="114"/>
      <c r="D728" s="114"/>
    </row>
    <row r="729" spans="2:4" x14ac:dyDescent="0.25">
      <c r="B729" s="46">
        <v>2018</v>
      </c>
      <c r="C729" s="114"/>
      <c r="D729" s="114"/>
    </row>
    <row r="730" spans="2:4" x14ac:dyDescent="0.25">
      <c r="B730" s="91">
        <v>2018</v>
      </c>
      <c r="C730" s="114"/>
      <c r="D730" s="114"/>
    </row>
    <row r="731" spans="2:4" x14ac:dyDescent="0.25">
      <c r="B731" s="91">
        <v>2018</v>
      </c>
      <c r="C731" s="114"/>
      <c r="D731" s="114"/>
    </row>
    <row r="732" spans="2:4" x14ac:dyDescent="0.25">
      <c r="B732" s="93">
        <v>2018</v>
      </c>
      <c r="C732" s="114"/>
      <c r="D732" s="114"/>
    </row>
    <row r="733" spans="2:4" x14ac:dyDescent="0.25">
      <c r="B733" s="98">
        <v>2018</v>
      </c>
      <c r="C733" s="114"/>
      <c r="D733" s="114"/>
    </row>
    <row r="734" spans="2:4" x14ac:dyDescent="0.25">
      <c r="B734" s="91">
        <v>2018</v>
      </c>
      <c r="C734" s="114"/>
      <c r="D734" s="114"/>
    </row>
    <row r="735" spans="2:4" x14ac:dyDescent="0.25">
      <c r="B735" s="91">
        <v>2018</v>
      </c>
      <c r="C735" s="114"/>
      <c r="D735" s="114"/>
    </row>
    <row r="736" spans="2:4" x14ac:dyDescent="0.25">
      <c r="B736" s="46">
        <v>2018</v>
      </c>
      <c r="C736" s="114"/>
      <c r="D736" s="114"/>
    </row>
    <row r="737" spans="2:4" x14ac:dyDescent="0.25">
      <c r="B737" s="46">
        <v>2018</v>
      </c>
      <c r="C737" s="114"/>
      <c r="D737" s="114"/>
    </row>
    <row r="738" spans="2:4" x14ac:dyDescent="0.25">
      <c r="B738" s="46">
        <v>2018</v>
      </c>
      <c r="C738" s="114"/>
      <c r="D738" s="114"/>
    </row>
    <row r="739" spans="2:4" x14ac:dyDescent="0.25">
      <c r="B739" s="46">
        <v>2018</v>
      </c>
      <c r="C739" s="114"/>
      <c r="D739" s="114"/>
    </row>
    <row r="740" spans="2:4" x14ac:dyDescent="0.25">
      <c r="B740" s="46">
        <v>2018</v>
      </c>
      <c r="C740" s="114"/>
      <c r="D740" s="114"/>
    </row>
    <row r="741" spans="2:4" x14ac:dyDescent="0.25">
      <c r="B741" s="46">
        <v>2018</v>
      </c>
      <c r="C741" s="114"/>
      <c r="D741" s="114"/>
    </row>
    <row r="742" spans="2:4" x14ac:dyDescent="0.25">
      <c r="B742" s="46">
        <v>2018</v>
      </c>
      <c r="C742" s="114"/>
      <c r="D742" s="114"/>
    </row>
    <row r="743" spans="2:4" x14ac:dyDescent="0.25">
      <c r="B743" s="46">
        <v>2018</v>
      </c>
      <c r="C743" s="114"/>
      <c r="D743" s="114"/>
    </row>
    <row r="744" spans="2:4" x14ac:dyDescent="0.25">
      <c r="B744" s="46">
        <v>2018</v>
      </c>
      <c r="C744" s="114"/>
      <c r="D744" s="114"/>
    </row>
    <row r="745" spans="2:4" x14ac:dyDescent="0.25">
      <c r="B745" s="46">
        <v>2018</v>
      </c>
      <c r="C745" s="114"/>
      <c r="D745" s="114"/>
    </row>
    <row r="746" spans="2:4" x14ac:dyDescent="0.25">
      <c r="B746" s="46">
        <v>2018</v>
      </c>
      <c r="C746" s="114"/>
      <c r="D746" s="114"/>
    </row>
    <row r="747" spans="2:4" x14ac:dyDescent="0.25">
      <c r="B747" s="46">
        <v>2018</v>
      </c>
      <c r="C747" s="114"/>
      <c r="D747" s="114"/>
    </row>
    <row r="748" spans="2:4" x14ac:dyDescent="0.25">
      <c r="B748" s="46">
        <v>2018</v>
      </c>
      <c r="C748" s="114"/>
      <c r="D748" s="114"/>
    </row>
    <row r="749" spans="2:4" x14ac:dyDescent="0.25">
      <c r="B749" s="46">
        <v>2018</v>
      </c>
      <c r="C749" s="114"/>
      <c r="D749" s="114"/>
    </row>
    <row r="750" spans="2:4" x14ac:dyDescent="0.25">
      <c r="B750" s="46">
        <v>2018</v>
      </c>
      <c r="C750" s="114"/>
      <c r="D750" s="114"/>
    </row>
    <row r="751" spans="2:4" x14ac:dyDescent="0.25">
      <c r="B751" s="46">
        <v>2018</v>
      </c>
      <c r="C751" s="114"/>
      <c r="D751" s="114"/>
    </row>
    <row r="752" spans="2:4" x14ac:dyDescent="0.25">
      <c r="B752" s="46">
        <v>2018</v>
      </c>
      <c r="C752" s="114"/>
      <c r="D752" s="114"/>
    </row>
    <row r="753" spans="2:4" x14ac:dyDescent="0.25">
      <c r="B753" s="46">
        <v>2018</v>
      </c>
      <c r="C753" s="114"/>
      <c r="D753" s="114"/>
    </row>
    <row r="754" spans="2:4" x14ac:dyDescent="0.25">
      <c r="B754" s="46">
        <v>2018</v>
      </c>
      <c r="C754" s="114"/>
      <c r="D754" s="114"/>
    </row>
    <row r="755" spans="2:4" x14ac:dyDescent="0.25">
      <c r="B755" s="46">
        <v>2018</v>
      </c>
      <c r="C755" s="114"/>
      <c r="D755" s="114"/>
    </row>
    <row r="756" spans="2:4" x14ac:dyDescent="0.25">
      <c r="B756" s="46">
        <v>2018</v>
      </c>
      <c r="C756" s="114"/>
      <c r="D756" s="114"/>
    </row>
    <row r="757" spans="2:4" x14ac:dyDescent="0.25">
      <c r="B757" s="46">
        <v>2018</v>
      </c>
      <c r="C757" s="114"/>
      <c r="D757" s="114"/>
    </row>
    <row r="758" spans="2:4" x14ac:dyDescent="0.25">
      <c r="B758" s="46">
        <v>2018</v>
      </c>
      <c r="C758" s="114"/>
      <c r="D758" s="114"/>
    </row>
    <row r="759" spans="2:4" x14ac:dyDescent="0.25">
      <c r="B759" s="46">
        <v>2018</v>
      </c>
      <c r="C759" s="114"/>
      <c r="D759" s="114"/>
    </row>
    <row r="760" spans="2:4" x14ac:dyDescent="0.25">
      <c r="B760" s="46">
        <v>2018</v>
      </c>
      <c r="C760" s="114"/>
      <c r="D760" s="114"/>
    </row>
    <row r="761" spans="2:4" x14ac:dyDescent="0.25">
      <c r="B761" s="46">
        <v>2018</v>
      </c>
      <c r="C761" s="114"/>
      <c r="D761" s="114"/>
    </row>
    <row r="762" spans="2:4" x14ac:dyDescent="0.25">
      <c r="B762" s="101">
        <v>2018</v>
      </c>
      <c r="C762" s="114"/>
      <c r="D762" s="114"/>
    </row>
    <row r="763" spans="2:4" x14ac:dyDescent="0.25">
      <c r="B763" s="50">
        <v>2018</v>
      </c>
      <c r="C763" s="114"/>
      <c r="D763" s="114"/>
    </row>
    <row r="764" spans="2:4" x14ac:dyDescent="0.25">
      <c r="B764" s="102">
        <v>2018</v>
      </c>
      <c r="C764" s="114"/>
      <c r="D764" s="114"/>
    </row>
    <row r="765" spans="2:4" x14ac:dyDescent="0.25">
      <c r="B765" s="97">
        <v>2018</v>
      </c>
      <c r="C765" s="114"/>
      <c r="D765" s="114"/>
    </row>
    <row r="766" spans="2:4" x14ac:dyDescent="0.25">
      <c r="B766" s="97">
        <v>2018</v>
      </c>
      <c r="C766" s="114"/>
      <c r="D766" s="114"/>
    </row>
    <row r="767" spans="2:4" x14ac:dyDescent="0.25">
      <c r="B767" s="99">
        <v>2018</v>
      </c>
      <c r="C767" s="114"/>
      <c r="D767" s="114"/>
    </row>
    <row r="768" spans="2:4" x14ac:dyDescent="0.25">
      <c r="B768" s="102">
        <v>2018</v>
      </c>
      <c r="C768" s="114"/>
      <c r="D768" s="114"/>
    </row>
    <row r="769" spans="2:4" x14ac:dyDescent="0.25">
      <c r="B769" s="91">
        <v>2018</v>
      </c>
      <c r="C769" s="114"/>
      <c r="D769" s="114"/>
    </row>
    <row r="770" spans="2:4" x14ac:dyDescent="0.25">
      <c r="B770" s="47">
        <v>2018</v>
      </c>
      <c r="C770" s="114"/>
      <c r="D770" s="114"/>
    </row>
    <row r="771" spans="2:4" x14ac:dyDescent="0.25">
      <c r="B771" s="47">
        <v>2018</v>
      </c>
      <c r="C771" s="114"/>
      <c r="D771" s="114"/>
    </row>
    <row r="772" spans="2:4" x14ac:dyDescent="0.25">
      <c r="B772" s="46">
        <v>2018</v>
      </c>
      <c r="C772" s="114"/>
      <c r="D772" s="114"/>
    </row>
    <row r="773" spans="2:4" x14ac:dyDescent="0.25">
      <c r="B773" s="46">
        <v>2018</v>
      </c>
      <c r="C773" s="114"/>
      <c r="D773" s="114"/>
    </row>
    <row r="774" spans="2:4" x14ac:dyDescent="0.25">
      <c r="B774" s="46">
        <v>2018</v>
      </c>
      <c r="C774" s="114"/>
      <c r="D774" s="114"/>
    </row>
    <row r="775" spans="2:4" x14ac:dyDescent="0.25">
      <c r="B775" s="93">
        <v>2018</v>
      </c>
      <c r="C775" s="114"/>
      <c r="D775" s="114"/>
    </row>
    <row r="776" spans="2:4" x14ac:dyDescent="0.25">
      <c r="B776" s="91">
        <v>2018</v>
      </c>
      <c r="C776" s="114"/>
      <c r="D776" s="114"/>
    </row>
    <row r="777" spans="2:4" x14ac:dyDescent="0.25">
      <c r="B777" s="91">
        <v>2018</v>
      </c>
      <c r="C777" s="114"/>
      <c r="D777" s="114"/>
    </row>
    <row r="778" spans="2:4" x14ac:dyDescent="0.25">
      <c r="B778" s="102">
        <v>2019</v>
      </c>
      <c r="C778" s="133"/>
      <c r="D778" s="139"/>
    </row>
    <row r="779" spans="2:4" x14ac:dyDescent="0.25">
      <c r="B779" s="91">
        <v>2019</v>
      </c>
      <c r="C779" s="115"/>
      <c r="D779" s="115"/>
    </row>
    <row r="780" spans="2:4" x14ac:dyDescent="0.25">
      <c r="B780" s="94">
        <v>2019</v>
      </c>
      <c r="C780" s="115"/>
      <c r="D780" s="115"/>
    </row>
    <row r="781" spans="2:4" x14ac:dyDescent="0.25">
      <c r="B781" s="96">
        <v>2019</v>
      </c>
      <c r="C781" s="115"/>
      <c r="D781" s="115"/>
    </row>
    <row r="782" spans="2:4" x14ac:dyDescent="0.25">
      <c r="B782" s="93">
        <v>2019</v>
      </c>
      <c r="C782" s="123"/>
      <c r="D782" s="123"/>
    </row>
    <row r="783" spans="2:4" x14ac:dyDescent="0.25">
      <c r="B783" s="91">
        <v>2019</v>
      </c>
      <c r="C783" s="115"/>
      <c r="D783" s="115"/>
    </row>
    <row r="784" spans="2:4" x14ac:dyDescent="0.25">
      <c r="B784" s="91">
        <v>2019</v>
      </c>
      <c r="C784" s="115"/>
      <c r="D784" s="115"/>
    </row>
    <row r="785" spans="2:4" x14ac:dyDescent="0.25">
      <c r="B785" s="91">
        <v>2019</v>
      </c>
      <c r="C785" s="115"/>
      <c r="D785" s="115"/>
    </row>
    <row r="786" spans="2:4" x14ac:dyDescent="0.25">
      <c r="B786" s="91">
        <v>2019</v>
      </c>
      <c r="C786" s="115"/>
      <c r="D786" s="115"/>
    </row>
    <row r="787" spans="2:4" x14ac:dyDescent="0.25">
      <c r="B787" s="91">
        <v>2019</v>
      </c>
      <c r="C787" s="115"/>
      <c r="D787" s="115"/>
    </row>
    <row r="788" spans="2:4" x14ac:dyDescent="0.25">
      <c r="B788" s="91">
        <v>2019</v>
      </c>
      <c r="C788" s="115"/>
      <c r="D788" s="115"/>
    </row>
    <row r="789" spans="2:4" x14ac:dyDescent="0.25">
      <c r="B789" s="91">
        <v>2019</v>
      </c>
      <c r="C789" s="115"/>
      <c r="D789" s="115"/>
    </row>
    <row r="790" spans="2:4" x14ac:dyDescent="0.25">
      <c r="B790" s="57">
        <v>2019</v>
      </c>
      <c r="C790" s="115"/>
      <c r="D790" s="115"/>
    </row>
    <row r="791" spans="2:4" x14ac:dyDescent="0.25">
      <c r="B791" s="102">
        <v>2019</v>
      </c>
      <c r="C791" s="132"/>
      <c r="D791" s="132"/>
    </row>
    <row r="792" spans="2:4" x14ac:dyDescent="0.25">
      <c r="B792" s="91">
        <v>2019</v>
      </c>
      <c r="C792" s="115"/>
      <c r="D792" s="115"/>
    </row>
    <row r="793" spans="2:4" x14ac:dyDescent="0.25">
      <c r="B793" s="91">
        <v>2019</v>
      </c>
      <c r="C793" s="115"/>
      <c r="D793" s="115"/>
    </row>
    <row r="794" spans="2:4" x14ac:dyDescent="0.25">
      <c r="B794" s="91">
        <v>2019</v>
      </c>
      <c r="C794" s="115"/>
      <c r="D794" s="115"/>
    </row>
    <row r="795" spans="2:4" x14ac:dyDescent="0.25">
      <c r="B795" s="91">
        <v>2019</v>
      </c>
      <c r="C795" s="115"/>
      <c r="D795" s="115"/>
    </row>
    <row r="796" spans="2:4" x14ac:dyDescent="0.25">
      <c r="B796" s="101">
        <v>2019</v>
      </c>
      <c r="C796" s="115"/>
      <c r="D796" s="115"/>
    </row>
    <row r="797" spans="2:4" x14ac:dyDescent="0.25">
      <c r="B797" s="53">
        <v>2019</v>
      </c>
      <c r="C797" s="115"/>
      <c r="D797" s="115"/>
    </row>
    <row r="798" spans="2:4" x14ac:dyDescent="0.25">
      <c r="B798" s="91">
        <v>2019</v>
      </c>
      <c r="C798" s="115"/>
      <c r="D798" s="115"/>
    </row>
    <row r="799" spans="2:4" x14ac:dyDescent="0.25">
      <c r="B799" s="91">
        <v>2019</v>
      </c>
      <c r="C799" s="115"/>
      <c r="D799" s="115"/>
    </row>
    <row r="800" spans="2:4" x14ac:dyDescent="0.25">
      <c r="B800" s="97">
        <v>2019</v>
      </c>
      <c r="C800" s="115"/>
      <c r="D800" s="115"/>
    </row>
    <row r="801" spans="2:4" x14ac:dyDescent="0.25">
      <c r="B801" s="92">
        <v>2019</v>
      </c>
      <c r="C801" s="115"/>
      <c r="D801" s="115"/>
    </row>
    <row r="802" spans="2:4" x14ac:dyDescent="0.25">
      <c r="B802" s="92">
        <v>2019</v>
      </c>
      <c r="C802" s="115"/>
      <c r="D802" s="115"/>
    </row>
    <row r="803" spans="2:4" x14ac:dyDescent="0.25">
      <c r="B803" s="92">
        <v>2019</v>
      </c>
      <c r="C803" s="115"/>
      <c r="D803" s="115"/>
    </row>
    <row r="804" spans="2:4" x14ac:dyDescent="0.25">
      <c r="B804" s="92">
        <v>2019</v>
      </c>
      <c r="C804" s="115"/>
      <c r="D804" s="115"/>
    </row>
    <row r="805" spans="2:4" x14ac:dyDescent="0.25">
      <c r="B805" s="91">
        <v>2019</v>
      </c>
      <c r="C805" s="115"/>
      <c r="D805" s="115"/>
    </row>
    <row r="806" spans="2:4" x14ac:dyDescent="0.25">
      <c r="B806" s="91">
        <v>2019</v>
      </c>
      <c r="C806" s="115"/>
      <c r="D806" s="115"/>
    </row>
    <row r="807" spans="2:4" x14ac:dyDescent="0.25">
      <c r="B807" s="91">
        <v>2019</v>
      </c>
      <c r="C807" s="114"/>
      <c r="D807" s="115"/>
    </row>
    <row r="808" spans="2:4" x14ac:dyDescent="0.25">
      <c r="B808" s="94">
        <v>2019</v>
      </c>
      <c r="C808" s="114"/>
      <c r="D808" s="115"/>
    </row>
    <row r="809" spans="2:4" x14ac:dyDescent="0.25">
      <c r="B809" s="96">
        <v>2019</v>
      </c>
      <c r="C809" s="114"/>
      <c r="D809" s="115"/>
    </row>
    <row r="810" spans="2:4" x14ac:dyDescent="0.25">
      <c r="B810" s="95">
        <v>2019</v>
      </c>
      <c r="C810" s="114"/>
      <c r="D810" s="115"/>
    </row>
    <row r="811" spans="2:4" x14ac:dyDescent="0.25">
      <c r="B811" s="95">
        <v>2019</v>
      </c>
      <c r="C811" s="114"/>
      <c r="D811" s="115"/>
    </row>
    <row r="812" spans="2:4" x14ac:dyDescent="0.25">
      <c r="B812" s="91">
        <v>2019</v>
      </c>
      <c r="C812" s="114"/>
      <c r="D812" s="115"/>
    </row>
    <row r="813" spans="2:4" x14ac:dyDescent="0.25">
      <c r="B813" s="92">
        <v>2019</v>
      </c>
      <c r="C813" s="114"/>
      <c r="D813" s="115"/>
    </row>
    <row r="814" spans="2:4" x14ac:dyDescent="0.25">
      <c r="B814" s="93">
        <v>2019</v>
      </c>
      <c r="C814" s="114"/>
      <c r="D814" s="115"/>
    </row>
    <row r="815" spans="2:4" x14ac:dyDescent="0.25">
      <c r="B815" s="91">
        <v>2019</v>
      </c>
      <c r="C815" s="114"/>
      <c r="D815" s="115"/>
    </row>
    <row r="816" spans="2:4" x14ac:dyDescent="0.25">
      <c r="B816" s="91">
        <v>2019</v>
      </c>
      <c r="C816" s="114"/>
      <c r="D816" s="115"/>
    </row>
    <row r="817" spans="2:4" x14ac:dyDescent="0.25">
      <c r="B817" s="91">
        <v>2019</v>
      </c>
      <c r="C817" s="114"/>
      <c r="D817" s="115"/>
    </row>
    <row r="818" spans="2:4" x14ac:dyDescent="0.25">
      <c r="B818" s="91">
        <v>2019</v>
      </c>
      <c r="C818" s="114"/>
      <c r="D818" s="115"/>
    </row>
    <row r="819" spans="2:4" x14ac:dyDescent="0.25">
      <c r="B819" s="91">
        <v>2019</v>
      </c>
      <c r="C819" s="114"/>
      <c r="D819" s="115"/>
    </row>
    <row r="820" spans="2:4" x14ac:dyDescent="0.25">
      <c r="B820" s="91">
        <v>2019</v>
      </c>
      <c r="C820" s="114"/>
      <c r="D820" s="115"/>
    </row>
    <row r="821" spans="2:4" x14ac:dyDescent="0.25">
      <c r="B821" s="100">
        <v>2019</v>
      </c>
      <c r="C821" s="114"/>
      <c r="D821" s="115"/>
    </row>
    <row r="822" spans="2:4" x14ac:dyDescent="0.25">
      <c r="B822" s="97">
        <v>2019</v>
      </c>
      <c r="C822" s="135"/>
      <c r="D822" s="136"/>
    </row>
    <row r="823" spans="2:4" x14ac:dyDescent="0.25">
      <c r="B823" s="97">
        <v>2019</v>
      </c>
      <c r="C823" s="135"/>
      <c r="D823" s="136"/>
    </row>
    <row r="824" spans="2:4" x14ac:dyDescent="0.25">
      <c r="B824" s="91">
        <v>2019</v>
      </c>
      <c r="C824" s="114"/>
      <c r="D824" s="115"/>
    </row>
    <row r="825" spans="2:4" x14ac:dyDescent="0.25">
      <c r="B825" s="91">
        <v>2019</v>
      </c>
      <c r="C825" s="114"/>
      <c r="D825" s="115"/>
    </row>
    <row r="826" spans="2:4" x14ac:dyDescent="0.25">
      <c r="B826" s="91">
        <v>2019</v>
      </c>
      <c r="C826" s="114"/>
      <c r="D826" s="115"/>
    </row>
    <row r="827" spans="2:4" x14ac:dyDescent="0.25">
      <c r="B827" s="91">
        <v>2019</v>
      </c>
      <c r="C827" s="114"/>
      <c r="D827" s="115"/>
    </row>
    <row r="828" spans="2:4" x14ac:dyDescent="0.25">
      <c r="B828" s="57">
        <v>2019</v>
      </c>
      <c r="C828" s="114"/>
      <c r="D828" s="115"/>
    </row>
    <row r="829" spans="2:4" x14ac:dyDescent="0.25">
      <c r="B829" s="91">
        <v>2019</v>
      </c>
      <c r="C829" s="114"/>
      <c r="D829" s="115"/>
    </row>
    <row r="830" spans="2:4" x14ac:dyDescent="0.25">
      <c r="B830" s="102">
        <v>2019</v>
      </c>
      <c r="C830" s="133"/>
      <c r="D830" s="132"/>
    </row>
    <row r="831" spans="2:4" x14ac:dyDescent="0.25">
      <c r="B831" s="90">
        <v>2019</v>
      </c>
      <c r="C831" s="114"/>
      <c r="D831" s="115"/>
    </row>
    <row r="832" spans="2:4" x14ac:dyDescent="0.25">
      <c r="B832" s="91">
        <v>2019</v>
      </c>
      <c r="C832" s="114"/>
      <c r="D832" s="115"/>
    </row>
    <row r="833" spans="2:4" x14ac:dyDescent="0.25">
      <c r="B833" s="91">
        <v>2019</v>
      </c>
      <c r="C833" s="114"/>
      <c r="D833" s="115"/>
    </row>
    <row r="834" spans="2:4" x14ac:dyDescent="0.25">
      <c r="B834" s="91">
        <v>2019</v>
      </c>
      <c r="C834" s="114"/>
      <c r="D834" s="115"/>
    </row>
    <row r="835" spans="2:4" x14ac:dyDescent="0.25">
      <c r="B835" s="91">
        <v>2019</v>
      </c>
      <c r="C835" s="114"/>
      <c r="D835" s="115"/>
    </row>
    <row r="836" spans="2:4" x14ac:dyDescent="0.25">
      <c r="B836" s="91">
        <v>2019</v>
      </c>
      <c r="C836" s="114"/>
      <c r="D836" s="115"/>
    </row>
    <row r="837" spans="2:4" x14ac:dyDescent="0.25">
      <c r="B837" s="91">
        <v>2019</v>
      </c>
      <c r="C837" s="114"/>
      <c r="D837" s="115"/>
    </row>
    <row r="838" spans="2:4" x14ac:dyDescent="0.25">
      <c r="B838" s="91">
        <v>2019</v>
      </c>
      <c r="C838" s="114"/>
      <c r="D838" s="115"/>
    </row>
    <row r="839" spans="2:4" x14ac:dyDescent="0.25">
      <c r="B839" s="91">
        <v>2019</v>
      </c>
      <c r="C839" s="114"/>
      <c r="D839" s="115"/>
    </row>
    <row r="840" spans="2:4" x14ac:dyDescent="0.25">
      <c r="B840" s="91">
        <v>2019</v>
      </c>
      <c r="C840" s="114"/>
      <c r="D840" s="115"/>
    </row>
    <row r="841" spans="2:4" x14ac:dyDescent="0.25">
      <c r="B841" s="98">
        <v>2019</v>
      </c>
      <c r="C841" s="114"/>
      <c r="D841" s="115"/>
    </row>
    <row r="842" spans="2:4" x14ac:dyDescent="0.25">
      <c r="B842" s="101">
        <v>2019</v>
      </c>
      <c r="C842" s="114"/>
      <c r="D842" s="115"/>
    </row>
    <row r="843" spans="2:4" x14ac:dyDescent="0.25">
      <c r="B843" s="53">
        <v>2019</v>
      </c>
      <c r="C843" s="114"/>
      <c r="D843" s="115"/>
    </row>
    <row r="844" spans="2:4" x14ac:dyDescent="0.25">
      <c r="B844" s="91">
        <v>2019</v>
      </c>
      <c r="C844" s="114"/>
      <c r="D844" s="115"/>
    </row>
    <row r="845" spans="2:4" x14ac:dyDescent="0.25">
      <c r="B845" s="91">
        <v>2019</v>
      </c>
      <c r="C845" s="114"/>
      <c r="D845" s="115"/>
    </row>
    <row r="846" spans="2:4" x14ac:dyDescent="0.25">
      <c r="B846" s="97">
        <v>2019</v>
      </c>
      <c r="C846" s="114"/>
      <c r="D846" s="115"/>
    </row>
    <row r="847" spans="2:4" x14ac:dyDescent="0.25">
      <c r="B847" s="92">
        <v>2019</v>
      </c>
      <c r="C847" s="115"/>
      <c r="D847" s="153"/>
    </row>
    <row r="848" spans="2:4" x14ac:dyDescent="0.25">
      <c r="B848" s="92">
        <v>2019</v>
      </c>
      <c r="C848" s="115"/>
      <c r="D848" s="153"/>
    </row>
    <row r="849" spans="2:4" x14ac:dyDescent="0.25">
      <c r="B849" s="92">
        <v>2019</v>
      </c>
      <c r="C849" s="115"/>
      <c r="D849" s="153"/>
    </row>
    <row r="850" spans="2:4" x14ac:dyDescent="0.25">
      <c r="B850" s="92">
        <v>2019</v>
      </c>
      <c r="C850" s="115"/>
      <c r="D850" s="153"/>
    </row>
    <row r="851" spans="2:4" x14ac:dyDescent="0.25">
      <c r="B851" s="46">
        <v>2019</v>
      </c>
      <c r="C851" s="114"/>
      <c r="D851" s="115"/>
    </row>
    <row r="852" spans="2:4" x14ac:dyDescent="0.25">
      <c r="B852" s="93">
        <v>2019</v>
      </c>
      <c r="C852" s="114"/>
      <c r="D852" s="115"/>
    </row>
    <row r="853" spans="2:4" x14ac:dyDescent="0.25">
      <c r="B853" s="91">
        <v>2019</v>
      </c>
      <c r="C853" s="114"/>
      <c r="D853" s="115"/>
    </row>
    <row r="854" spans="2:4" x14ac:dyDescent="0.25">
      <c r="B854" s="91">
        <v>2019</v>
      </c>
      <c r="C854" s="114"/>
      <c r="D854" s="115"/>
    </row>
    <row r="855" spans="2:4" x14ac:dyDescent="0.25">
      <c r="B855" s="91">
        <v>2019</v>
      </c>
      <c r="C855" s="114"/>
      <c r="D855" s="115"/>
    </row>
    <row r="856" spans="2:4" x14ac:dyDescent="0.25">
      <c r="B856" s="91">
        <v>2019</v>
      </c>
      <c r="C856" s="114"/>
      <c r="D856" s="114"/>
    </row>
    <row r="857" spans="2:4" x14ac:dyDescent="0.25">
      <c r="B857" s="94">
        <v>2019</v>
      </c>
      <c r="C857" s="114"/>
      <c r="D857" s="114"/>
    </row>
    <row r="858" spans="2:4" x14ac:dyDescent="0.25">
      <c r="B858" s="96">
        <v>2019</v>
      </c>
      <c r="C858" s="114"/>
      <c r="D858" s="114"/>
    </row>
    <row r="859" spans="2:4" x14ac:dyDescent="0.25">
      <c r="B859" s="95">
        <v>2019</v>
      </c>
      <c r="C859" s="114"/>
      <c r="D859" s="114"/>
    </row>
    <row r="860" spans="2:4" x14ac:dyDescent="0.25">
      <c r="B860" s="95">
        <v>2019</v>
      </c>
      <c r="C860" s="114"/>
      <c r="D860" s="114"/>
    </row>
    <row r="861" spans="2:4" x14ac:dyDescent="0.25">
      <c r="B861" s="95">
        <v>2019</v>
      </c>
      <c r="C861" s="114"/>
      <c r="D861" s="114"/>
    </row>
    <row r="862" spans="2:4" x14ac:dyDescent="0.25">
      <c r="B862" s="91">
        <v>2019</v>
      </c>
      <c r="C862" s="114"/>
      <c r="D862" s="114"/>
    </row>
    <row r="863" spans="2:4" x14ac:dyDescent="0.25">
      <c r="B863" s="97">
        <v>2019</v>
      </c>
      <c r="C863" s="114"/>
      <c r="D863" s="114"/>
    </row>
    <row r="864" spans="2:4" x14ac:dyDescent="0.25">
      <c r="B864" s="92">
        <v>2019</v>
      </c>
      <c r="C864" s="114"/>
      <c r="D864" s="114"/>
    </row>
    <row r="865" spans="2:4" x14ac:dyDescent="0.25">
      <c r="B865" s="92">
        <v>2019</v>
      </c>
      <c r="C865" s="114"/>
      <c r="D865" s="114"/>
    </row>
    <row r="866" spans="2:4" x14ac:dyDescent="0.25">
      <c r="B866" s="93">
        <v>2019</v>
      </c>
      <c r="C866" s="114"/>
      <c r="D866" s="114"/>
    </row>
    <row r="867" spans="2:4" x14ac:dyDescent="0.25">
      <c r="B867" s="91">
        <v>2019</v>
      </c>
      <c r="C867" s="114"/>
      <c r="D867" s="114"/>
    </row>
    <row r="868" spans="2:4" x14ac:dyDescent="0.25">
      <c r="B868" s="91">
        <v>2019</v>
      </c>
      <c r="C868" s="114"/>
      <c r="D868" s="114"/>
    </row>
    <row r="869" spans="2:4" x14ac:dyDescent="0.25">
      <c r="B869" s="91">
        <v>2019</v>
      </c>
      <c r="C869" s="114"/>
      <c r="D869" s="114"/>
    </row>
    <row r="870" spans="2:4" x14ac:dyDescent="0.25">
      <c r="B870" s="91">
        <v>2019</v>
      </c>
      <c r="C870" s="114"/>
      <c r="D870" s="114"/>
    </row>
    <row r="871" spans="2:4" x14ac:dyDescent="0.25">
      <c r="B871" s="91">
        <v>2019</v>
      </c>
      <c r="C871" s="114"/>
      <c r="D871" s="114"/>
    </row>
    <row r="872" spans="2:4" x14ac:dyDescent="0.25">
      <c r="B872" s="91">
        <v>2019</v>
      </c>
      <c r="C872" s="114"/>
      <c r="D872" s="114"/>
    </row>
    <row r="873" spans="2:4" x14ac:dyDescent="0.25">
      <c r="B873" s="91">
        <v>2019</v>
      </c>
      <c r="C873" s="114"/>
      <c r="D873" s="114"/>
    </row>
    <row r="874" spans="2:4" x14ac:dyDescent="0.25">
      <c r="B874" s="100">
        <v>2019</v>
      </c>
      <c r="C874" s="114"/>
      <c r="D874" s="114"/>
    </row>
    <row r="875" spans="2:4" x14ac:dyDescent="0.25">
      <c r="B875" s="97">
        <v>2019</v>
      </c>
      <c r="C875" s="137"/>
      <c r="D875" s="137"/>
    </row>
    <row r="876" spans="2:4" x14ac:dyDescent="0.25">
      <c r="B876" s="97">
        <v>2019</v>
      </c>
      <c r="C876" s="137"/>
      <c r="D876" s="137"/>
    </row>
    <row r="877" spans="2:4" x14ac:dyDescent="0.25">
      <c r="B877" s="91">
        <v>2019</v>
      </c>
      <c r="C877" s="114"/>
      <c r="D877" s="114"/>
    </row>
    <row r="878" spans="2:4" x14ac:dyDescent="0.25">
      <c r="B878" s="91">
        <v>2019</v>
      </c>
      <c r="C878" s="114"/>
      <c r="D878" s="114"/>
    </row>
    <row r="879" spans="2:4" x14ac:dyDescent="0.25">
      <c r="B879" s="91">
        <v>2019</v>
      </c>
      <c r="C879" s="114"/>
      <c r="D879" s="114"/>
    </row>
    <row r="880" spans="2:4" x14ac:dyDescent="0.25">
      <c r="B880" s="91">
        <v>2019</v>
      </c>
      <c r="C880" s="114"/>
      <c r="D880" s="114"/>
    </row>
    <row r="881" spans="2:4" x14ac:dyDescent="0.25">
      <c r="B881" s="57">
        <v>2019</v>
      </c>
      <c r="C881" s="114"/>
      <c r="D881" s="114"/>
    </row>
    <row r="882" spans="2:4" x14ac:dyDescent="0.25">
      <c r="B882" s="101">
        <v>2019</v>
      </c>
      <c r="C882" s="114"/>
      <c r="D882" s="114"/>
    </row>
    <row r="883" spans="2:4" x14ac:dyDescent="0.25">
      <c r="B883" s="91">
        <v>2019</v>
      </c>
      <c r="C883" s="114"/>
      <c r="D883" s="138"/>
    </row>
    <row r="884" spans="2:4" x14ac:dyDescent="0.25">
      <c r="B884" s="102">
        <v>2019</v>
      </c>
      <c r="C884" s="114"/>
      <c r="D884" s="114"/>
    </row>
    <row r="885" spans="2:4" x14ac:dyDescent="0.25">
      <c r="B885" s="91">
        <v>2019</v>
      </c>
      <c r="C885" s="114"/>
      <c r="D885" s="114"/>
    </row>
    <row r="886" spans="2:4" x14ac:dyDescent="0.25">
      <c r="B886" s="90">
        <v>2019</v>
      </c>
      <c r="C886" s="114"/>
      <c r="D886" s="114"/>
    </row>
    <row r="887" spans="2:4" x14ac:dyDescent="0.25">
      <c r="B887" s="46">
        <v>2019</v>
      </c>
      <c r="C887" s="114"/>
      <c r="D887" s="114"/>
    </row>
    <row r="888" spans="2:4" x14ac:dyDescent="0.25">
      <c r="B888" s="91">
        <v>2019</v>
      </c>
      <c r="C888" s="114"/>
      <c r="D888" s="114"/>
    </row>
    <row r="889" spans="2:4" x14ac:dyDescent="0.25">
      <c r="B889" s="91">
        <v>2019</v>
      </c>
      <c r="C889" s="147"/>
      <c r="D889" s="147"/>
    </row>
    <row r="890" spans="2:4" x14ac:dyDescent="0.25">
      <c r="B890" s="91">
        <v>2019</v>
      </c>
      <c r="C890" s="114"/>
      <c r="D890" s="114"/>
    </row>
    <row r="891" spans="2:4" x14ac:dyDescent="0.25">
      <c r="B891" s="93">
        <v>2019</v>
      </c>
      <c r="C891" s="147"/>
      <c r="D891" s="147"/>
    </row>
    <row r="892" spans="2:4" x14ac:dyDescent="0.25">
      <c r="B892" s="91">
        <v>2019</v>
      </c>
      <c r="C892" s="114"/>
      <c r="D892" s="114"/>
    </row>
    <row r="893" spans="2:4" x14ac:dyDescent="0.25">
      <c r="B893" s="91">
        <v>2019</v>
      </c>
      <c r="C893" s="114"/>
      <c r="D893" s="114"/>
    </row>
    <row r="894" spans="2:4" x14ac:dyDescent="0.25">
      <c r="B894" s="91">
        <v>2019</v>
      </c>
      <c r="C894" s="114"/>
      <c r="D894" s="114"/>
    </row>
    <row r="895" spans="2:4" x14ac:dyDescent="0.25">
      <c r="B895" s="91">
        <v>2019</v>
      </c>
      <c r="C895" s="114"/>
      <c r="D895" s="114"/>
    </row>
    <row r="896" spans="2:4" x14ac:dyDescent="0.25">
      <c r="B896" s="91">
        <v>2019</v>
      </c>
      <c r="C896" s="114"/>
      <c r="D896" s="114"/>
    </row>
    <row r="897" spans="2:4" x14ac:dyDescent="0.25">
      <c r="B897" s="91">
        <v>2019</v>
      </c>
      <c r="C897" s="114"/>
      <c r="D897" s="114"/>
    </row>
    <row r="898" spans="2:4" x14ac:dyDescent="0.25">
      <c r="B898" s="91">
        <v>2019</v>
      </c>
      <c r="C898" s="114"/>
      <c r="D898" s="114"/>
    </row>
    <row r="899" spans="2:4" x14ac:dyDescent="0.25">
      <c r="B899" s="91">
        <v>2019</v>
      </c>
      <c r="C899" s="114"/>
      <c r="D899" s="114"/>
    </row>
    <row r="900" spans="2:4" x14ac:dyDescent="0.25">
      <c r="B900" s="91">
        <v>2019</v>
      </c>
      <c r="C900" s="114"/>
      <c r="D900" s="114"/>
    </row>
    <row r="901" spans="2:4" x14ac:dyDescent="0.25">
      <c r="B901" s="98">
        <v>2019</v>
      </c>
      <c r="C901" s="114"/>
      <c r="D901" s="114"/>
    </row>
    <row r="902" spans="2:4" x14ac:dyDescent="0.25">
      <c r="B902" s="101">
        <v>2019</v>
      </c>
      <c r="C902" s="114"/>
      <c r="D902" s="114"/>
    </row>
    <row r="903" spans="2:4" x14ac:dyDescent="0.25">
      <c r="B903" s="53">
        <v>2019</v>
      </c>
      <c r="C903" s="114"/>
      <c r="D903" s="114"/>
    </row>
    <row r="904" spans="2:4" x14ac:dyDescent="0.25">
      <c r="B904" s="91">
        <v>2019</v>
      </c>
      <c r="C904" s="114"/>
      <c r="D904" s="114"/>
    </row>
    <row r="905" spans="2:4" x14ac:dyDescent="0.25">
      <c r="B905" s="91">
        <v>2019</v>
      </c>
      <c r="C905" s="114"/>
      <c r="D905" s="114"/>
    </row>
    <row r="906" spans="2:4" x14ac:dyDescent="0.25">
      <c r="B906" s="46">
        <v>2019</v>
      </c>
      <c r="C906" s="114"/>
      <c r="D906" s="114"/>
    </row>
    <row r="907" spans="2:4" x14ac:dyDescent="0.25">
      <c r="B907" s="46">
        <v>2019</v>
      </c>
      <c r="C907" s="114"/>
      <c r="D907" s="114"/>
    </row>
    <row r="908" spans="2:4" x14ac:dyDescent="0.25">
      <c r="B908" s="46">
        <v>2019</v>
      </c>
      <c r="C908" s="114"/>
      <c r="D908" s="114"/>
    </row>
    <row r="909" spans="2:4" x14ac:dyDescent="0.25">
      <c r="B909" s="46">
        <v>2019</v>
      </c>
      <c r="C909" s="114"/>
      <c r="D909" s="114"/>
    </row>
    <row r="910" spans="2:4" x14ac:dyDescent="0.25">
      <c r="B910" s="46">
        <v>2019</v>
      </c>
      <c r="C910" s="114"/>
      <c r="D910" s="114"/>
    </row>
    <row r="911" spans="2:4" x14ac:dyDescent="0.25">
      <c r="B911" s="46">
        <v>2019</v>
      </c>
      <c r="C911" s="114"/>
      <c r="D911" s="114"/>
    </row>
    <row r="912" spans="2:4" x14ac:dyDescent="0.25">
      <c r="B912" s="46">
        <v>2019</v>
      </c>
      <c r="C912" s="114"/>
      <c r="D912" s="114"/>
    </row>
    <row r="913" spans="2:4" x14ac:dyDescent="0.25">
      <c r="B913" s="46">
        <v>2019</v>
      </c>
      <c r="C913" s="114"/>
      <c r="D913" s="114"/>
    </row>
    <row r="914" spans="2:4" x14ac:dyDescent="0.25">
      <c r="B914" s="46">
        <v>2019</v>
      </c>
      <c r="C914" s="114"/>
      <c r="D914" s="114"/>
    </row>
    <row r="915" spans="2:4" x14ac:dyDescent="0.25">
      <c r="B915" s="46">
        <v>2019</v>
      </c>
      <c r="C915" s="114"/>
      <c r="D915" s="114"/>
    </row>
    <row r="916" spans="2:4" x14ac:dyDescent="0.25">
      <c r="B916" s="46">
        <v>2019</v>
      </c>
      <c r="C916" s="114"/>
      <c r="D916" s="114"/>
    </row>
    <row r="917" spans="2:4" x14ac:dyDescent="0.25">
      <c r="B917" s="46">
        <v>2019</v>
      </c>
      <c r="C917" s="114"/>
      <c r="D917" s="114"/>
    </row>
    <row r="918" spans="2:4" x14ac:dyDescent="0.25">
      <c r="B918" s="97">
        <v>2019</v>
      </c>
      <c r="C918" s="114"/>
      <c r="D918" s="114"/>
    </row>
    <row r="919" spans="2:4" x14ac:dyDescent="0.25">
      <c r="B919" s="46">
        <v>2019</v>
      </c>
      <c r="C919" s="114"/>
      <c r="D919" s="114"/>
    </row>
    <row r="920" spans="2:4" x14ac:dyDescent="0.25">
      <c r="B920" s="92">
        <v>2019</v>
      </c>
      <c r="C920" s="153"/>
      <c r="D920" s="154"/>
    </row>
    <row r="921" spans="2:4" x14ac:dyDescent="0.25">
      <c r="B921" s="92">
        <v>2019</v>
      </c>
      <c r="C921" s="153"/>
      <c r="D921" s="154"/>
    </row>
    <row r="922" spans="2:4" x14ac:dyDescent="0.25">
      <c r="B922" s="92">
        <v>2019</v>
      </c>
      <c r="C922" s="153"/>
      <c r="D922" s="154"/>
    </row>
    <row r="923" spans="2:4" x14ac:dyDescent="0.25">
      <c r="B923" s="92">
        <v>2019</v>
      </c>
      <c r="C923" s="153"/>
      <c r="D923" s="154"/>
    </row>
    <row r="924" spans="2:4" x14ac:dyDescent="0.25">
      <c r="B924" s="91">
        <v>2019</v>
      </c>
      <c r="C924" s="114"/>
      <c r="D924" s="114"/>
    </row>
    <row r="925" spans="2:4" x14ac:dyDescent="0.25">
      <c r="B925" s="46">
        <v>2019</v>
      </c>
      <c r="C925" s="114"/>
      <c r="D925" s="114"/>
    </row>
    <row r="926" spans="2:4" x14ac:dyDescent="0.25">
      <c r="B926" s="93">
        <v>2019</v>
      </c>
      <c r="C926" s="114"/>
      <c r="D926" s="114"/>
    </row>
    <row r="927" spans="2:4" x14ac:dyDescent="0.25">
      <c r="B927" s="91">
        <v>2019</v>
      </c>
      <c r="C927" s="114"/>
      <c r="D927" s="114"/>
    </row>
    <row r="928" spans="2:4" x14ac:dyDescent="0.25">
      <c r="B928" s="91">
        <v>2019</v>
      </c>
      <c r="C928" s="114"/>
      <c r="D928" s="114"/>
    </row>
    <row r="929" spans="2:4" x14ac:dyDescent="0.25">
      <c r="B929" s="91">
        <v>2019</v>
      </c>
      <c r="C929" s="114"/>
      <c r="D929" s="114"/>
    </row>
    <row r="930" spans="2:4" x14ac:dyDescent="0.25">
      <c r="B930" s="90">
        <v>2020</v>
      </c>
      <c r="C930" s="113"/>
      <c r="D930" s="113"/>
    </row>
    <row r="931" spans="2:4" x14ac:dyDescent="0.25">
      <c r="B931" s="90">
        <v>2020</v>
      </c>
      <c r="C931" s="113"/>
      <c r="D931" s="113"/>
    </row>
    <row r="932" spans="2:4" x14ac:dyDescent="0.25">
      <c r="B932" s="91">
        <v>2020</v>
      </c>
      <c r="C932" s="115"/>
      <c r="D932" s="115"/>
    </row>
    <row r="933" spans="2:4" x14ac:dyDescent="0.25">
      <c r="B933" s="91">
        <v>2020</v>
      </c>
      <c r="C933" s="115"/>
      <c r="D933" s="115"/>
    </row>
    <row r="934" spans="2:4" x14ac:dyDescent="0.25">
      <c r="B934" s="91">
        <v>2020</v>
      </c>
      <c r="C934" s="115"/>
      <c r="D934" s="115"/>
    </row>
    <row r="935" spans="2:4" x14ac:dyDescent="0.25">
      <c r="B935" s="91">
        <v>2020</v>
      </c>
      <c r="C935" s="115"/>
      <c r="D935" s="115"/>
    </row>
    <row r="936" spans="2:4" x14ac:dyDescent="0.25">
      <c r="B936" s="91">
        <v>2020</v>
      </c>
      <c r="C936" s="115"/>
      <c r="D936" s="115"/>
    </row>
    <row r="937" spans="2:4" x14ac:dyDescent="0.25">
      <c r="B937" s="91">
        <v>2020</v>
      </c>
      <c r="C937" s="115"/>
      <c r="D937" s="115"/>
    </row>
    <row r="938" spans="2:4" x14ac:dyDescent="0.25">
      <c r="B938" s="97">
        <v>2020</v>
      </c>
      <c r="C938" s="115"/>
      <c r="D938" s="115"/>
    </row>
    <row r="939" spans="2:4" x14ac:dyDescent="0.25">
      <c r="B939" s="92">
        <v>2020</v>
      </c>
      <c r="C939" s="124"/>
      <c r="D939" s="124"/>
    </row>
    <row r="940" spans="2:4" x14ac:dyDescent="0.25">
      <c r="B940" s="91">
        <v>2020</v>
      </c>
      <c r="C940" s="115"/>
      <c r="D940" s="115"/>
    </row>
    <row r="941" spans="2:4" x14ac:dyDescent="0.25">
      <c r="B941" s="95">
        <v>2020</v>
      </c>
      <c r="C941" s="115"/>
      <c r="D941" s="115"/>
    </row>
    <row r="942" spans="2:4" x14ac:dyDescent="0.25">
      <c r="B942" s="91">
        <v>2020</v>
      </c>
      <c r="C942" s="115"/>
      <c r="D942" s="115"/>
    </row>
    <row r="943" spans="2:4" x14ac:dyDescent="0.25">
      <c r="B943" s="98">
        <v>2020</v>
      </c>
      <c r="C943" s="114"/>
      <c r="D943" s="115"/>
    </row>
    <row r="944" spans="2:4" x14ac:dyDescent="0.25">
      <c r="B944" s="99">
        <v>2020</v>
      </c>
      <c r="C944" s="114"/>
      <c r="D944" s="115"/>
    </row>
    <row r="945" spans="2:4" x14ac:dyDescent="0.25">
      <c r="B945" s="90">
        <v>2020</v>
      </c>
      <c r="C945" s="114"/>
      <c r="D945" s="115"/>
    </row>
    <row r="946" spans="2:4" x14ac:dyDescent="0.25">
      <c r="B946" s="90">
        <v>2020</v>
      </c>
      <c r="C946" s="114"/>
      <c r="D946" s="115"/>
    </row>
    <row r="947" spans="2:4" x14ac:dyDescent="0.25">
      <c r="B947" s="90">
        <v>2020</v>
      </c>
      <c r="C947" s="114"/>
      <c r="D947" s="115"/>
    </row>
    <row r="948" spans="2:4" x14ac:dyDescent="0.25">
      <c r="B948" s="94">
        <v>2020</v>
      </c>
      <c r="C948" s="132"/>
      <c r="D948" s="115"/>
    </row>
    <row r="949" spans="2:4" x14ac:dyDescent="0.25">
      <c r="B949" s="46">
        <v>2020</v>
      </c>
      <c r="C949" s="115"/>
      <c r="D949" s="115"/>
    </row>
    <row r="950" spans="2:4" x14ac:dyDescent="0.25">
      <c r="B950" s="57">
        <v>2020</v>
      </c>
      <c r="C950" s="115"/>
      <c r="D950" s="115"/>
    </row>
    <row r="951" spans="2:4" x14ac:dyDescent="0.25">
      <c r="B951" s="46">
        <v>2020</v>
      </c>
      <c r="C951" s="115"/>
      <c r="D951" s="115"/>
    </row>
    <row r="952" spans="2:4" x14ac:dyDescent="0.25">
      <c r="B952" s="46">
        <v>2020</v>
      </c>
      <c r="C952" s="115"/>
      <c r="D952" s="115"/>
    </row>
    <row r="953" spans="2:4" x14ac:dyDescent="0.25">
      <c r="B953" s="46">
        <v>2020</v>
      </c>
      <c r="C953" s="115"/>
      <c r="D953" s="115"/>
    </row>
    <row r="954" spans="2:4" x14ac:dyDescent="0.25">
      <c r="B954" s="98">
        <v>2020</v>
      </c>
      <c r="C954" s="115"/>
      <c r="D954" s="115"/>
    </row>
    <row r="955" spans="2:4" x14ac:dyDescent="0.25">
      <c r="B955" s="106">
        <v>2020</v>
      </c>
      <c r="C955" s="129"/>
      <c r="D955" s="129"/>
    </row>
    <row r="956" spans="2:4" x14ac:dyDescent="0.25">
      <c r="B956" s="108">
        <v>2020</v>
      </c>
      <c r="C956" s="129"/>
      <c r="D956" s="129"/>
    </row>
    <row r="957" spans="2:4" x14ac:dyDescent="0.25">
      <c r="B957" s="110">
        <v>2020</v>
      </c>
      <c r="C957" s="129"/>
      <c r="D957" s="129"/>
    </row>
    <row r="958" spans="2:4" x14ac:dyDescent="0.25">
      <c r="B958" s="53">
        <v>2020</v>
      </c>
      <c r="C958" s="115"/>
      <c r="D958" s="115"/>
    </row>
    <row r="959" spans="2:4" x14ac:dyDescent="0.25">
      <c r="B959" s="91">
        <v>2020</v>
      </c>
      <c r="C959" s="115"/>
      <c r="D959" s="115"/>
    </row>
    <row r="960" spans="2:4" x14ac:dyDescent="0.25">
      <c r="B960" s="46">
        <v>2020</v>
      </c>
      <c r="C960" s="115"/>
      <c r="D960" s="115"/>
    </row>
    <row r="961" spans="2:4" x14ac:dyDescent="0.25">
      <c r="B961" s="91">
        <v>2020</v>
      </c>
      <c r="C961" s="115"/>
      <c r="D961" s="115"/>
    </row>
    <row r="962" spans="2:4" x14ac:dyDescent="0.25">
      <c r="B962" s="91">
        <v>2020</v>
      </c>
      <c r="C962" s="115"/>
      <c r="D962" s="115"/>
    </row>
    <row r="963" spans="2:4" x14ac:dyDescent="0.25">
      <c r="B963" s="93">
        <v>2020</v>
      </c>
      <c r="C963" s="48"/>
      <c r="D963" s="113"/>
    </row>
    <row r="964" spans="2:4" x14ac:dyDescent="0.25">
      <c r="B964" s="98">
        <v>2020</v>
      </c>
      <c r="C964" s="113"/>
      <c r="D964" s="113"/>
    </row>
    <row r="965" spans="2:4" x14ac:dyDescent="0.25">
      <c r="B965" s="91">
        <v>2020</v>
      </c>
      <c r="C965" s="113"/>
      <c r="D965" s="113"/>
    </row>
    <row r="966" spans="2:4" x14ac:dyDescent="0.25">
      <c r="B966" s="46">
        <v>2020</v>
      </c>
      <c r="C966" s="115"/>
      <c r="D966" s="115"/>
    </row>
    <row r="967" spans="2:4" x14ac:dyDescent="0.25">
      <c r="B967" s="46">
        <v>2020</v>
      </c>
      <c r="C967" s="115"/>
      <c r="D967" s="115"/>
    </row>
    <row r="968" spans="2:4" x14ac:dyDescent="0.25">
      <c r="B968" s="46">
        <v>2020</v>
      </c>
      <c r="C968" s="115"/>
      <c r="D968" s="115"/>
    </row>
    <row r="969" spans="2:4" x14ac:dyDescent="0.25">
      <c r="B969" s="46">
        <v>2020</v>
      </c>
      <c r="C969" s="115"/>
      <c r="D969" s="115"/>
    </row>
    <row r="970" spans="2:4" x14ac:dyDescent="0.25">
      <c r="B970" s="92">
        <v>2020</v>
      </c>
      <c r="C970" s="115"/>
      <c r="D970" s="115"/>
    </row>
    <row r="971" spans="2:4" x14ac:dyDescent="0.25">
      <c r="B971" s="92">
        <v>2020</v>
      </c>
      <c r="C971" s="115"/>
      <c r="D971" s="115"/>
    </row>
    <row r="972" spans="2:4" x14ac:dyDescent="0.25">
      <c r="B972" s="92">
        <v>2020</v>
      </c>
      <c r="C972" s="115"/>
      <c r="D972" s="115"/>
    </row>
    <row r="973" spans="2:4" x14ac:dyDescent="0.25">
      <c r="B973" s="92">
        <v>2020</v>
      </c>
      <c r="C973" s="115"/>
      <c r="D973" s="115"/>
    </row>
    <row r="974" spans="2:4" x14ac:dyDescent="0.25">
      <c r="B974" s="92">
        <v>2020</v>
      </c>
      <c r="C974" s="115"/>
      <c r="D974" s="115"/>
    </row>
    <row r="975" spans="2:4" x14ac:dyDescent="0.25">
      <c r="B975" s="46">
        <v>2020</v>
      </c>
      <c r="C975" s="115"/>
      <c r="D975" s="115"/>
    </row>
    <row r="976" spans="2:4" x14ac:dyDescent="0.25">
      <c r="B976" s="46">
        <v>2020</v>
      </c>
      <c r="C976" s="115"/>
      <c r="D976" s="115"/>
    </row>
    <row r="977" spans="2:4" x14ac:dyDescent="0.25">
      <c r="B977" s="46">
        <v>2020</v>
      </c>
      <c r="C977" s="115"/>
      <c r="D977" s="115"/>
    </row>
    <row r="978" spans="2:4" x14ac:dyDescent="0.25">
      <c r="B978" s="90">
        <v>2020</v>
      </c>
      <c r="C978" s="111"/>
      <c r="D978" s="113"/>
    </row>
    <row r="979" spans="2:4" x14ac:dyDescent="0.25">
      <c r="B979" s="90">
        <v>2020</v>
      </c>
      <c r="C979" s="111"/>
      <c r="D979" s="113"/>
    </row>
    <row r="980" spans="2:4" x14ac:dyDescent="0.25">
      <c r="B980" s="91">
        <v>2020</v>
      </c>
      <c r="C980" s="114"/>
      <c r="D980" s="115"/>
    </row>
    <row r="981" spans="2:4" x14ac:dyDescent="0.25">
      <c r="B981" s="91">
        <v>2020</v>
      </c>
      <c r="C981" s="114"/>
      <c r="D981" s="115"/>
    </row>
    <row r="982" spans="2:4" x14ac:dyDescent="0.25">
      <c r="B982" s="91">
        <v>2020</v>
      </c>
      <c r="C982" s="114"/>
      <c r="D982" s="115"/>
    </row>
    <row r="983" spans="2:4" x14ac:dyDescent="0.25">
      <c r="B983" s="91">
        <v>2020</v>
      </c>
      <c r="C983" s="114"/>
      <c r="D983" s="115"/>
    </row>
    <row r="984" spans="2:4" x14ac:dyDescent="0.25">
      <c r="B984" s="91">
        <v>2020</v>
      </c>
      <c r="C984" s="114"/>
      <c r="D984" s="115"/>
    </row>
    <row r="985" spans="2:4" x14ac:dyDescent="0.25">
      <c r="B985" s="93">
        <v>2020</v>
      </c>
      <c r="C985" s="114"/>
      <c r="D985" s="115"/>
    </row>
    <row r="986" spans="2:4" x14ac:dyDescent="0.25">
      <c r="B986" s="91">
        <v>2020</v>
      </c>
      <c r="C986" s="114"/>
      <c r="D986" s="115"/>
    </row>
    <row r="987" spans="2:4" x14ac:dyDescent="0.25">
      <c r="B987" s="91">
        <v>2020</v>
      </c>
      <c r="C987" s="114"/>
      <c r="D987" s="115"/>
    </row>
    <row r="988" spans="2:4" x14ac:dyDescent="0.25">
      <c r="B988" s="97">
        <v>2020</v>
      </c>
      <c r="C988" s="114"/>
      <c r="D988" s="115"/>
    </row>
    <row r="989" spans="2:4" x14ac:dyDescent="0.25">
      <c r="B989" s="92">
        <v>2020</v>
      </c>
      <c r="C989" s="114"/>
      <c r="D989" s="115"/>
    </row>
    <row r="990" spans="2:4" x14ac:dyDescent="0.25">
      <c r="B990" s="92">
        <v>2020</v>
      </c>
      <c r="C990" s="114"/>
      <c r="D990" s="115"/>
    </row>
    <row r="991" spans="2:4" x14ac:dyDescent="0.25">
      <c r="B991" s="91">
        <v>2020</v>
      </c>
      <c r="C991" s="114"/>
      <c r="D991" s="115"/>
    </row>
    <row r="992" spans="2:4" x14ac:dyDescent="0.25">
      <c r="B992" s="95">
        <v>2020</v>
      </c>
      <c r="C992" s="114"/>
      <c r="D992" s="115"/>
    </row>
    <row r="993" spans="2:4" x14ac:dyDescent="0.25">
      <c r="B993" s="91">
        <v>2020</v>
      </c>
      <c r="C993" s="114"/>
      <c r="D993" s="115"/>
    </row>
    <row r="994" spans="2:4" x14ac:dyDescent="0.25">
      <c r="B994" s="98">
        <v>2020</v>
      </c>
      <c r="C994" s="114"/>
      <c r="D994" s="115"/>
    </row>
    <row r="995" spans="2:4" x14ac:dyDescent="0.25">
      <c r="B995" s="99">
        <v>2020</v>
      </c>
      <c r="C995" s="114"/>
      <c r="D995" s="115"/>
    </row>
    <row r="996" spans="2:4" x14ac:dyDescent="0.25">
      <c r="B996" s="90">
        <v>2020</v>
      </c>
      <c r="C996" s="114"/>
      <c r="D996" s="115"/>
    </row>
    <row r="997" spans="2:4" x14ac:dyDescent="0.25">
      <c r="B997" s="90">
        <v>2020</v>
      </c>
      <c r="C997" s="114"/>
      <c r="D997" s="115"/>
    </row>
    <row r="998" spans="2:4" x14ac:dyDescent="0.25">
      <c r="B998" s="90">
        <v>2020</v>
      </c>
      <c r="C998" s="114"/>
      <c r="D998" s="115"/>
    </row>
    <row r="999" spans="2:4" x14ac:dyDescent="0.25">
      <c r="B999" s="94">
        <v>2020</v>
      </c>
      <c r="C999" s="114"/>
      <c r="D999" s="115"/>
    </row>
    <row r="1000" spans="2:4" x14ac:dyDescent="0.25">
      <c r="B1000" s="91">
        <v>2020</v>
      </c>
      <c r="C1000" s="114"/>
      <c r="D1000" s="115"/>
    </row>
    <row r="1001" spans="2:4" x14ac:dyDescent="0.25">
      <c r="B1001" s="46">
        <v>2020</v>
      </c>
      <c r="C1001" s="114"/>
      <c r="D1001" s="115"/>
    </row>
    <row r="1002" spans="2:4" x14ac:dyDescent="0.25">
      <c r="B1002" s="57">
        <v>2020</v>
      </c>
      <c r="C1002" s="114"/>
      <c r="D1002" s="115"/>
    </row>
    <row r="1003" spans="2:4" x14ac:dyDescent="0.25">
      <c r="B1003" s="91">
        <v>2020</v>
      </c>
      <c r="C1003" s="114"/>
      <c r="D1003" s="115"/>
    </row>
    <row r="1004" spans="2:4" x14ac:dyDescent="0.25">
      <c r="B1004" s="91">
        <v>2020</v>
      </c>
      <c r="C1004" s="114"/>
      <c r="D1004" s="115"/>
    </row>
    <row r="1005" spans="2:4" x14ac:dyDescent="0.25">
      <c r="B1005" s="91">
        <v>2020</v>
      </c>
      <c r="C1005" s="114"/>
      <c r="D1005" s="115"/>
    </row>
    <row r="1006" spans="2:4" x14ac:dyDescent="0.25">
      <c r="B1006" s="46">
        <v>2020</v>
      </c>
      <c r="C1006" s="114"/>
      <c r="D1006" s="115"/>
    </row>
    <row r="1007" spans="2:4" x14ac:dyDescent="0.25">
      <c r="B1007" s="46">
        <v>2020</v>
      </c>
      <c r="C1007" s="114"/>
      <c r="D1007" s="115"/>
    </row>
    <row r="1008" spans="2:4" x14ac:dyDescent="0.25">
      <c r="B1008" s="46">
        <v>2020</v>
      </c>
      <c r="C1008" s="114"/>
      <c r="D1008" s="115"/>
    </row>
    <row r="1009" spans="2:4" x14ac:dyDescent="0.25">
      <c r="B1009" s="46">
        <v>2020</v>
      </c>
      <c r="C1009" s="114"/>
      <c r="D1009" s="115"/>
    </row>
    <row r="1010" spans="2:4" x14ac:dyDescent="0.25">
      <c r="B1010" s="102">
        <v>2020</v>
      </c>
      <c r="C1010" s="114"/>
      <c r="D1010" s="115"/>
    </row>
    <row r="1011" spans="2:4" x14ac:dyDescent="0.25">
      <c r="B1011" s="46">
        <v>2020</v>
      </c>
      <c r="C1011" s="45"/>
      <c r="D1011" s="113"/>
    </row>
    <row r="1012" spans="2:4" x14ac:dyDescent="0.25">
      <c r="B1012" s="101">
        <v>2020</v>
      </c>
      <c r="C1012" s="114"/>
      <c r="D1012" s="115"/>
    </row>
    <row r="1013" spans="2:4" x14ac:dyDescent="0.25">
      <c r="B1013" s="55">
        <v>2020</v>
      </c>
      <c r="C1013" s="114"/>
      <c r="D1013" s="115"/>
    </row>
    <row r="1014" spans="2:4" x14ac:dyDescent="0.25">
      <c r="B1014" s="90">
        <v>2020</v>
      </c>
      <c r="C1014" s="114"/>
      <c r="D1014" s="115"/>
    </row>
    <row r="1015" spans="2:4" x14ac:dyDescent="0.25">
      <c r="B1015" s="90">
        <v>2020</v>
      </c>
      <c r="C1015" s="114"/>
      <c r="D1015" s="115"/>
    </row>
    <row r="1016" spans="2:4" x14ac:dyDescent="0.25">
      <c r="B1016" s="90">
        <v>2020</v>
      </c>
      <c r="C1016" s="114"/>
      <c r="D1016" s="115"/>
    </row>
    <row r="1017" spans="2:4" x14ac:dyDescent="0.25">
      <c r="B1017" s="90">
        <v>2020</v>
      </c>
      <c r="C1017" s="114"/>
      <c r="D1017" s="115"/>
    </row>
    <row r="1018" spans="2:4" x14ac:dyDescent="0.25">
      <c r="B1018" s="98">
        <v>2020</v>
      </c>
      <c r="C1018" s="114"/>
      <c r="D1018" s="115"/>
    </row>
    <row r="1019" spans="2:4" x14ac:dyDescent="0.25">
      <c r="B1019" s="106">
        <v>2020</v>
      </c>
      <c r="C1019" s="114"/>
      <c r="D1019" s="115"/>
    </row>
    <row r="1020" spans="2:4" x14ac:dyDescent="0.25">
      <c r="B1020" s="108">
        <v>2020</v>
      </c>
      <c r="C1020" s="114"/>
      <c r="D1020" s="115"/>
    </row>
    <row r="1021" spans="2:4" x14ac:dyDescent="0.25">
      <c r="B1021" s="110">
        <v>2020</v>
      </c>
      <c r="C1021" s="114"/>
      <c r="D1021" s="115"/>
    </row>
    <row r="1022" spans="2:4" x14ac:dyDescent="0.25">
      <c r="B1022" s="53">
        <v>2020</v>
      </c>
      <c r="C1022" s="114"/>
      <c r="D1022" s="115"/>
    </row>
    <row r="1023" spans="2:4" x14ac:dyDescent="0.25">
      <c r="B1023" s="91">
        <v>2020</v>
      </c>
      <c r="C1023" s="114"/>
      <c r="D1023" s="115"/>
    </row>
    <row r="1024" spans="2:4" x14ac:dyDescent="0.25">
      <c r="B1024" s="46">
        <v>2020</v>
      </c>
      <c r="C1024" s="114"/>
      <c r="D1024" s="115"/>
    </row>
    <row r="1025" spans="2:4" x14ac:dyDescent="0.25">
      <c r="B1025" s="91">
        <v>2020</v>
      </c>
      <c r="C1025" s="114"/>
      <c r="D1025" s="115"/>
    </row>
    <row r="1026" spans="2:4" x14ac:dyDescent="0.25">
      <c r="B1026" s="91">
        <v>2020</v>
      </c>
      <c r="C1026" s="114"/>
      <c r="D1026" s="115"/>
    </row>
    <row r="1027" spans="2:4" x14ac:dyDescent="0.25">
      <c r="B1027" s="53">
        <v>2020</v>
      </c>
      <c r="C1027" s="114"/>
      <c r="D1027" s="115"/>
    </row>
    <row r="1028" spans="2:4" x14ac:dyDescent="0.25">
      <c r="B1028" s="93">
        <v>2020</v>
      </c>
      <c r="C1028" s="114"/>
      <c r="D1028" s="115"/>
    </row>
    <row r="1029" spans="2:4" x14ac:dyDescent="0.25">
      <c r="B1029" s="98">
        <v>2020</v>
      </c>
      <c r="C1029" s="114"/>
      <c r="D1029" s="115"/>
    </row>
    <row r="1030" spans="2:4" x14ac:dyDescent="0.25">
      <c r="B1030" s="91">
        <v>2020</v>
      </c>
      <c r="C1030" s="114"/>
      <c r="D1030" s="115"/>
    </row>
    <row r="1031" spans="2:4" x14ac:dyDescent="0.25">
      <c r="B1031" s="46">
        <v>2020</v>
      </c>
      <c r="C1031" s="114"/>
      <c r="D1031" s="115"/>
    </row>
    <row r="1032" spans="2:4" x14ac:dyDescent="0.25">
      <c r="B1032" s="46">
        <v>2020</v>
      </c>
      <c r="C1032" s="114"/>
      <c r="D1032" s="115"/>
    </row>
    <row r="1033" spans="2:4" x14ac:dyDescent="0.25">
      <c r="B1033" s="46">
        <v>2020</v>
      </c>
      <c r="C1033" s="114"/>
      <c r="D1033" s="115"/>
    </row>
    <row r="1034" spans="2:4" x14ac:dyDescent="0.25">
      <c r="B1034" s="46">
        <v>2020</v>
      </c>
      <c r="C1034" s="114"/>
      <c r="D1034" s="115"/>
    </row>
    <row r="1035" spans="2:4" x14ac:dyDescent="0.25">
      <c r="B1035" s="47">
        <v>2020</v>
      </c>
      <c r="C1035" s="114"/>
      <c r="D1035" s="115"/>
    </row>
    <row r="1036" spans="2:4" x14ac:dyDescent="0.25">
      <c r="B1036" s="46">
        <v>2020</v>
      </c>
      <c r="C1036" s="114"/>
      <c r="D1036" s="115"/>
    </row>
    <row r="1037" spans="2:4" x14ac:dyDescent="0.25">
      <c r="B1037" s="46">
        <v>2020</v>
      </c>
      <c r="C1037" s="115"/>
      <c r="D1037" s="115"/>
    </row>
    <row r="1038" spans="2:4" x14ac:dyDescent="0.25">
      <c r="B1038" s="92">
        <v>2020</v>
      </c>
      <c r="C1038" s="115"/>
      <c r="D1038" s="153"/>
    </row>
    <row r="1039" spans="2:4" x14ac:dyDescent="0.25">
      <c r="B1039" s="92">
        <v>2020</v>
      </c>
      <c r="C1039" s="115"/>
      <c r="D1039" s="153"/>
    </row>
    <row r="1040" spans="2:4" x14ac:dyDescent="0.25">
      <c r="B1040" s="92">
        <v>2020</v>
      </c>
      <c r="C1040" s="115"/>
      <c r="D1040" s="153"/>
    </row>
    <row r="1041" spans="2:4" x14ac:dyDescent="0.25">
      <c r="B1041" s="92">
        <v>2020</v>
      </c>
      <c r="C1041" s="115"/>
      <c r="D1041" s="153"/>
    </row>
    <row r="1042" spans="2:4" x14ac:dyDescent="0.25">
      <c r="B1042" s="92">
        <v>2020</v>
      </c>
      <c r="C1042" s="115"/>
      <c r="D1042" s="153"/>
    </row>
    <row r="1043" spans="2:4" x14ac:dyDescent="0.25">
      <c r="B1043" s="92">
        <v>2020</v>
      </c>
      <c r="C1043" s="115"/>
      <c r="D1043" s="153"/>
    </row>
    <row r="1044" spans="2:4" x14ac:dyDescent="0.25">
      <c r="B1044" s="92">
        <v>2020</v>
      </c>
      <c r="C1044" s="153"/>
      <c r="D1044" s="153"/>
    </row>
    <row r="1045" spans="2:4" x14ac:dyDescent="0.25">
      <c r="B1045" s="46">
        <v>2020</v>
      </c>
      <c r="C1045" s="114"/>
      <c r="D1045" s="115"/>
    </row>
    <row r="1046" spans="2:4" x14ac:dyDescent="0.25">
      <c r="B1046" s="46">
        <v>2020</v>
      </c>
      <c r="C1046" s="114"/>
      <c r="D1046" s="115"/>
    </row>
    <row r="1047" spans="2:4" x14ac:dyDescent="0.25">
      <c r="B1047" s="46">
        <v>2020</v>
      </c>
      <c r="C1047" s="114"/>
      <c r="D1047" s="115"/>
    </row>
    <row r="1048" spans="2:4" x14ac:dyDescent="0.25">
      <c r="B1048" s="46">
        <v>2020</v>
      </c>
      <c r="C1048" s="114"/>
      <c r="D1048" s="115"/>
    </row>
    <row r="1049" spans="2:4" x14ac:dyDescent="0.25">
      <c r="B1049" s="90">
        <v>2020</v>
      </c>
      <c r="C1049" s="111"/>
      <c r="D1049" s="111"/>
    </row>
    <row r="1050" spans="2:4" x14ac:dyDescent="0.25">
      <c r="B1050" s="90">
        <v>2020</v>
      </c>
      <c r="C1050" s="111"/>
      <c r="D1050" s="111"/>
    </row>
    <row r="1051" spans="2:4" x14ac:dyDescent="0.25">
      <c r="B1051" s="91">
        <v>2020</v>
      </c>
      <c r="C1051" s="114"/>
      <c r="D1051" s="114"/>
    </row>
    <row r="1052" spans="2:4" x14ac:dyDescent="0.25">
      <c r="B1052" s="91">
        <v>2020</v>
      </c>
      <c r="C1052" s="114"/>
      <c r="D1052" s="114"/>
    </row>
    <row r="1053" spans="2:4" x14ac:dyDescent="0.25">
      <c r="B1053" s="91">
        <v>2020</v>
      </c>
      <c r="C1053" s="114"/>
      <c r="D1053" s="114"/>
    </row>
    <row r="1054" spans="2:4" x14ac:dyDescent="0.25">
      <c r="B1054" s="91">
        <v>2020</v>
      </c>
      <c r="C1054" s="114"/>
      <c r="D1054" s="114"/>
    </row>
    <row r="1055" spans="2:4" x14ac:dyDescent="0.25">
      <c r="B1055" s="91">
        <v>2020</v>
      </c>
      <c r="C1055" s="114"/>
      <c r="D1055" s="114"/>
    </row>
    <row r="1056" spans="2:4" x14ac:dyDescent="0.25">
      <c r="B1056" s="93">
        <v>2020</v>
      </c>
      <c r="C1056" s="114"/>
      <c r="D1056" s="114"/>
    </row>
    <row r="1057" spans="2:4" x14ac:dyDescent="0.25">
      <c r="B1057" s="91">
        <v>2020</v>
      </c>
      <c r="C1057" s="114"/>
      <c r="D1057" s="114"/>
    </row>
    <row r="1058" spans="2:4" x14ac:dyDescent="0.25">
      <c r="B1058" s="91">
        <v>2020</v>
      </c>
      <c r="C1058" s="114"/>
      <c r="D1058" s="114"/>
    </row>
    <row r="1059" spans="2:4" x14ac:dyDescent="0.25">
      <c r="B1059" s="91">
        <v>2020</v>
      </c>
      <c r="C1059" s="114"/>
      <c r="D1059" s="114"/>
    </row>
    <row r="1060" spans="2:4" x14ac:dyDescent="0.25">
      <c r="B1060" s="91">
        <v>2020</v>
      </c>
      <c r="C1060" s="114"/>
      <c r="D1060" s="114"/>
    </row>
    <row r="1061" spans="2:4" x14ac:dyDescent="0.25">
      <c r="B1061" s="97">
        <v>2020</v>
      </c>
      <c r="C1061" s="114"/>
      <c r="D1061" s="114"/>
    </row>
    <row r="1062" spans="2:4" x14ac:dyDescent="0.25">
      <c r="B1062" s="92">
        <v>2020</v>
      </c>
      <c r="C1062" s="114"/>
      <c r="D1062" s="114"/>
    </row>
    <row r="1063" spans="2:4" x14ac:dyDescent="0.25">
      <c r="B1063" s="92">
        <v>2020</v>
      </c>
      <c r="C1063" s="114"/>
      <c r="D1063" s="114"/>
    </row>
    <row r="1064" spans="2:4" x14ac:dyDescent="0.25">
      <c r="B1064" s="92">
        <v>2020</v>
      </c>
      <c r="C1064" s="114"/>
      <c r="D1064" s="114"/>
    </row>
    <row r="1065" spans="2:4" x14ac:dyDescent="0.25">
      <c r="B1065" s="91">
        <v>2020</v>
      </c>
      <c r="C1065" s="114"/>
      <c r="D1065" s="114"/>
    </row>
    <row r="1066" spans="2:4" x14ac:dyDescent="0.25">
      <c r="B1066" s="95">
        <v>2020</v>
      </c>
      <c r="C1066" s="114"/>
      <c r="D1066" s="114"/>
    </row>
    <row r="1067" spans="2:4" x14ac:dyDescent="0.25">
      <c r="B1067" s="91">
        <v>2020</v>
      </c>
      <c r="C1067" s="114"/>
      <c r="D1067" s="114"/>
    </row>
    <row r="1068" spans="2:4" x14ac:dyDescent="0.25">
      <c r="B1068" s="98">
        <v>2020</v>
      </c>
      <c r="C1068" s="114"/>
      <c r="D1068" s="114"/>
    </row>
    <row r="1069" spans="2:4" x14ac:dyDescent="0.25">
      <c r="B1069" s="99">
        <v>2020</v>
      </c>
      <c r="C1069" s="114"/>
      <c r="D1069" s="114"/>
    </row>
    <row r="1070" spans="2:4" x14ac:dyDescent="0.25">
      <c r="B1070" s="90">
        <v>2020</v>
      </c>
      <c r="C1070" s="114"/>
      <c r="D1070" s="114"/>
    </row>
    <row r="1071" spans="2:4" x14ac:dyDescent="0.25">
      <c r="B1071" s="90">
        <v>2020</v>
      </c>
      <c r="C1071" s="114"/>
      <c r="D1071" s="114"/>
    </row>
    <row r="1072" spans="2:4" x14ac:dyDescent="0.25">
      <c r="B1072" s="90">
        <v>2020</v>
      </c>
      <c r="C1072" s="114"/>
      <c r="D1072" s="114"/>
    </row>
    <row r="1073" spans="2:4" x14ac:dyDescent="0.25">
      <c r="B1073" s="94">
        <v>2020</v>
      </c>
      <c r="C1073" s="114"/>
      <c r="D1073" s="114"/>
    </row>
    <row r="1074" spans="2:4" x14ac:dyDescent="0.25">
      <c r="B1074" s="91">
        <v>2020</v>
      </c>
      <c r="C1074" s="114"/>
      <c r="D1074" s="114"/>
    </row>
    <row r="1075" spans="2:4" x14ac:dyDescent="0.25">
      <c r="B1075" s="46">
        <v>2020</v>
      </c>
      <c r="C1075" s="114"/>
      <c r="D1075" s="114"/>
    </row>
    <row r="1076" spans="2:4" x14ac:dyDescent="0.25">
      <c r="B1076" s="57">
        <v>2020</v>
      </c>
      <c r="C1076" s="114"/>
      <c r="D1076" s="114"/>
    </row>
    <row r="1077" spans="2:4" x14ac:dyDescent="0.25">
      <c r="B1077" s="102">
        <v>2020</v>
      </c>
      <c r="C1077" s="114"/>
      <c r="D1077" s="114"/>
    </row>
    <row r="1078" spans="2:4" x14ac:dyDescent="0.25">
      <c r="B1078" s="102">
        <v>2020</v>
      </c>
      <c r="C1078" s="114"/>
      <c r="D1078" s="114"/>
    </row>
    <row r="1079" spans="2:4" x14ac:dyDescent="0.25">
      <c r="B1079" s="91">
        <v>2020</v>
      </c>
      <c r="C1079" s="114"/>
      <c r="D1079" s="114"/>
    </row>
    <row r="1080" spans="2:4" x14ac:dyDescent="0.25">
      <c r="B1080" s="91">
        <v>2020</v>
      </c>
      <c r="C1080" s="114"/>
      <c r="D1080" s="138"/>
    </row>
    <row r="1081" spans="2:4" x14ac:dyDescent="0.25">
      <c r="B1081" s="91">
        <v>2020</v>
      </c>
      <c r="C1081" s="114"/>
      <c r="D1081" s="114"/>
    </row>
    <row r="1082" spans="2:4" x14ac:dyDescent="0.25">
      <c r="B1082" s="46">
        <v>2020</v>
      </c>
      <c r="C1082" s="114"/>
      <c r="D1082" s="114"/>
    </row>
    <row r="1083" spans="2:4" x14ac:dyDescent="0.25">
      <c r="B1083" s="46">
        <v>2020</v>
      </c>
      <c r="C1083" s="114"/>
      <c r="D1083" s="114"/>
    </row>
    <row r="1084" spans="2:4" x14ac:dyDescent="0.25">
      <c r="B1084" s="46">
        <v>2020</v>
      </c>
      <c r="C1084" s="114"/>
      <c r="D1084" s="114"/>
    </row>
    <row r="1085" spans="2:4" x14ac:dyDescent="0.25">
      <c r="B1085" s="46">
        <v>2020</v>
      </c>
      <c r="C1085" s="114"/>
      <c r="D1085" s="114"/>
    </row>
    <row r="1086" spans="2:4" x14ac:dyDescent="0.25">
      <c r="B1086" s="102">
        <v>2020</v>
      </c>
      <c r="C1086" s="114"/>
      <c r="D1086" s="114"/>
    </row>
    <row r="1087" spans="2:4" x14ac:dyDescent="0.25">
      <c r="B1087" s="46">
        <v>2020</v>
      </c>
      <c r="C1087" s="114"/>
      <c r="D1087" s="114"/>
    </row>
    <row r="1088" spans="2:4" x14ac:dyDescent="0.25">
      <c r="B1088" s="46">
        <v>2020</v>
      </c>
      <c r="C1088" s="114"/>
      <c r="D1088" s="114"/>
    </row>
    <row r="1089" spans="2:4" x14ac:dyDescent="0.25">
      <c r="B1089" s="46">
        <v>2020</v>
      </c>
      <c r="C1089" s="114"/>
      <c r="D1089" s="114"/>
    </row>
    <row r="1090" spans="2:4" x14ac:dyDescent="0.25">
      <c r="B1090" s="101">
        <v>2020</v>
      </c>
      <c r="C1090" s="114"/>
      <c r="D1090" s="114"/>
    </row>
    <row r="1091" spans="2:4" x14ac:dyDescent="0.25">
      <c r="B1091" s="55">
        <v>2020</v>
      </c>
      <c r="C1091" s="114"/>
      <c r="D1091" s="114"/>
    </row>
    <row r="1092" spans="2:4" x14ac:dyDescent="0.25">
      <c r="B1092" s="91">
        <v>2020</v>
      </c>
      <c r="C1092" s="114"/>
      <c r="D1092" s="114"/>
    </row>
    <row r="1093" spans="2:4" x14ac:dyDescent="0.25">
      <c r="B1093" s="90">
        <v>2020</v>
      </c>
      <c r="C1093" s="114"/>
      <c r="D1093" s="114"/>
    </row>
    <row r="1094" spans="2:4" x14ac:dyDescent="0.25">
      <c r="B1094" s="90">
        <v>2020</v>
      </c>
      <c r="C1094" s="114"/>
      <c r="D1094" s="114"/>
    </row>
    <row r="1095" spans="2:4" x14ac:dyDescent="0.25">
      <c r="B1095" s="90">
        <v>2020</v>
      </c>
      <c r="C1095" s="114"/>
      <c r="D1095" s="114"/>
    </row>
    <row r="1096" spans="2:4" x14ac:dyDescent="0.25">
      <c r="B1096" s="90">
        <v>2020</v>
      </c>
      <c r="C1096" s="114"/>
      <c r="D1096" s="114"/>
    </row>
    <row r="1097" spans="2:4" x14ac:dyDescent="0.25">
      <c r="B1097" s="91">
        <v>2020</v>
      </c>
      <c r="C1097" s="114"/>
      <c r="D1097" s="114"/>
    </row>
    <row r="1098" spans="2:4" x14ac:dyDescent="0.25">
      <c r="B1098" s="98">
        <v>2020</v>
      </c>
      <c r="C1098" s="114"/>
      <c r="D1098" s="114"/>
    </row>
    <row r="1099" spans="2:4" x14ac:dyDescent="0.25">
      <c r="B1099" s="106">
        <v>2020</v>
      </c>
      <c r="C1099" s="114"/>
      <c r="D1099" s="114"/>
    </row>
    <row r="1100" spans="2:4" x14ac:dyDescent="0.25">
      <c r="B1100" s="108">
        <v>2020</v>
      </c>
      <c r="C1100" s="114"/>
      <c r="D1100" s="114"/>
    </row>
    <row r="1101" spans="2:4" x14ac:dyDescent="0.25">
      <c r="B1101" s="110">
        <v>2020</v>
      </c>
      <c r="C1101" s="114"/>
      <c r="D1101" s="114"/>
    </row>
    <row r="1102" spans="2:4" x14ac:dyDescent="0.25">
      <c r="B1102" s="53">
        <v>2020</v>
      </c>
      <c r="C1102" s="114"/>
      <c r="D1102" s="114"/>
    </row>
    <row r="1103" spans="2:4" x14ac:dyDescent="0.25">
      <c r="B1103" s="91">
        <v>2020</v>
      </c>
      <c r="C1103" s="114"/>
      <c r="D1103" s="114"/>
    </row>
    <row r="1104" spans="2:4" x14ac:dyDescent="0.25">
      <c r="B1104" s="46">
        <v>2020</v>
      </c>
      <c r="C1104" s="114"/>
      <c r="D1104" s="114"/>
    </row>
    <row r="1105" spans="2:4" x14ac:dyDescent="0.25">
      <c r="B1105" s="91">
        <v>2020</v>
      </c>
      <c r="C1105" s="114"/>
      <c r="D1105" s="114"/>
    </row>
    <row r="1106" spans="2:4" x14ac:dyDescent="0.25">
      <c r="B1106" s="91">
        <v>2020</v>
      </c>
      <c r="C1106" s="114"/>
      <c r="D1106" s="114"/>
    </row>
    <row r="1107" spans="2:4" x14ac:dyDescent="0.25">
      <c r="B1107" s="53">
        <v>2020</v>
      </c>
      <c r="C1107" s="114"/>
      <c r="D1107" s="114"/>
    </row>
    <row r="1108" spans="2:4" x14ac:dyDescent="0.25">
      <c r="B1108" s="93">
        <v>2020</v>
      </c>
      <c r="C1108" s="114"/>
      <c r="D1108" s="114"/>
    </row>
    <row r="1109" spans="2:4" x14ac:dyDescent="0.25">
      <c r="B1109" s="98">
        <v>2020</v>
      </c>
      <c r="C1109" s="114"/>
      <c r="D1109" s="114"/>
    </row>
    <row r="1110" spans="2:4" x14ac:dyDescent="0.25">
      <c r="B1110" s="91">
        <v>2020</v>
      </c>
      <c r="C1110" s="114"/>
      <c r="D1110" s="114"/>
    </row>
    <row r="1111" spans="2:4" x14ac:dyDescent="0.25">
      <c r="B1111" s="91">
        <v>2020</v>
      </c>
      <c r="C1111" s="114"/>
      <c r="D1111" s="114"/>
    </row>
    <row r="1112" spans="2:4" x14ac:dyDescent="0.25">
      <c r="B1112" s="91">
        <v>2020</v>
      </c>
      <c r="C1112" s="114"/>
      <c r="D1112" s="114"/>
    </row>
    <row r="1113" spans="2:4" x14ac:dyDescent="0.25">
      <c r="B1113" s="46">
        <v>2020</v>
      </c>
      <c r="C1113" s="114"/>
      <c r="D1113" s="114"/>
    </row>
    <row r="1114" spans="2:4" x14ac:dyDescent="0.25">
      <c r="B1114" s="46">
        <v>2020</v>
      </c>
      <c r="C1114" s="114"/>
      <c r="D1114" s="114"/>
    </row>
    <row r="1115" spans="2:4" x14ac:dyDescent="0.25">
      <c r="B1115" s="46">
        <v>2020</v>
      </c>
      <c r="C1115" s="114"/>
      <c r="D1115" s="114"/>
    </row>
    <row r="1116" spans="2:4" x14ac:dyDescent="0.25">
      <c r="B1116" s="46">
        <v>2020</v>
      </c>
      <c r="C1116" s="114"/>
      <c r="D1116" s="114"/>
    </row>
    <row r="1117" spans="2:4" x14ac:dyDescent="0.25">
      <c r="B1117" s="47">
        <v>2020</v>
      </c>
      <c r="C1117" s="114"/>
      <c r="D1117" s="114"/>
    </row>
    <row r="1118" spans="2:4" x14ac:dyDescent="0.25">
      <c r="B1118" s="46">
        <v>2020</v>
      </c>
      <c r="C1118" s="114"/>
      <c r="D1118" s="114"/>
    </row>
    <row r="1119" spans="2:4" x14ac:dyDescent="0.25">
      <c r="B1119" s="46">
        <v>2020</v>
      </c>
      <c r="C1119" s="114"/>
      <c r="D1119" s="114"/>
    </row>
    <row r="1120" spans="2:4" x14ac:dyDescent="0.25">
      <c r="B1120" s="46">
        <v>2020</v>
      </c>
      <c r="C1120" s="114"/>
      <c r="D1120" s="114"/>
    </row>
    <row r="1121" spans="2:4" x14ac:dyDescent="0.25">
      <c r="B1121" s="46">
        <v>2020</v>
      </c>
      <c r="C1121" s="114"/>
      <c r="D1121" s="114"/>
    </row>
    <row r="1122" spans="2:4" x14ac:dyDescent="0.25">
      <c r="B1122" s="46">
        <v>2020</v>
      </c>
      <c r="C1122" s="114"/>
      <c r="D1122" s="114"/>
    </row>
    <row r="1123" spans="2:4" x14ac:dyDescent="0.25">
      <c r="B1123" s="46">
        <v>2020</v>
      </c>
      <c r="C1123" s="114"/>
      <c r="D1123" s="114"/>
    </row>
    <row r="1124" spans="2:4" x14ac:dyDescent="0.25">
      <c r="B1124" s="46">
        <v>2020</v>
      </c>
      <c r="C1124" s="114"/>
      <c r="D1124" s="114"/>
    </row>
    <row r="1125" spans="2:4" x14ac:dyDescent="0.25">
      <c r="B1125" s="46">
        <v>2020</v>
      </c>
      <c r="C1125" s="114"/>
      <c r="D1125" s="114"/>
    </row>
    <row r="1126" spans="2:4" x14ac:dyDescent="0.25">
      <c r="B1126" s="46">
        <v>2020</v>
      </c>
      <c r="C1126" s="114"/>
      <c r="D1126" s="114"/>
    </row>
    <row r="1127" spans="2:4" x14ac:dyDescent="0.25">
      <c r="B1127" s="46">
        <v>2020</v>
      </c>
      <c r="C1127" s="114"/>
      <c r="D1127" s="114"/>
    </row>
    <row r="1128" spans="2:4" x14ac:dyDescent="0.25">
      <c r="B1128" s="46">
        <v>2020</v>
      </c>
      <c r="C1128" s="114"/>
      <c r="D1128" s="114"/>
    </row>
    <row r="1129" spans="2:4" x14ac:dyDescent="0.25">
      <c r="B1129" s="46">
        <v>2020</v>
      </c>
      <c r="C1129" s="114"/>
      <c r="D1129" s="114"/>
    </row>
    <row r="1130" spans="2:4" x14ac:dyDescent="0.25">
      <c r="B1130" s="46">
        <v>2020</v>
      </c>
      <c r="C1130" s="114"/>
      <c r="D1130" s="114"/>
    </row>
    <row r="1131" spans="2:4" x14ac:dyDescent="0.25">
      <c r="B1131" s="46">
        <v>2020</v>
      </c>
      <c r="C1131" s="114"/>
      <c r="D1131" s="114"/>
    </row>
    <row r="1132" spans="2:4" x14ac:dyDescent="0.25">
      <c r="B1132" s="46">
        <v>2020</v>
      </c>
      <c r="C1132" s="114"/>
      <c r="D1132" s="114"/>
    </row>
    <row r="1133" spans="2:4" x14ac:dyDescent="0.25">
      <c r="B1133" s="46">
        <v>2020</v>
      </c>
      <c r="C1133" s="114"/>
      <c r="D1133" s="114"/>
    </row>
    <row r="1134" spans="2:4" x14ac:dyDescent="0.25">
      <c r="B1134" s="46">
        <v>2020</v>
      </c>
      <c r="C1134" s="114"/>
      <c r="D1134" s="114"/>
    </row>
    <row r="1135" spans="2:4" x14ac:dyDescent="0.25">
      <c r="B1135" s="92">
        <v>2020</v>
      </c>
      <c r="C1135" s="153"/>
      <c r="D1135" s="154"/>
    </row>
    <row r="1136" spans="2:4" x14ac:dyDescent="0.25">
      <c r="B1136" s="92">
        <v>2020</v>
      </c>
      <c r="C1136" s="153"/>
      <c r="D1136" s="154"/>
    </row>
    <row r="1137" spans="2:4" x14ac:dyDescent="0.25">
      <c r="B1137" s="92">
        <v>2020</v>
      </c>
      <c r="C1137" s="153"/>
      <c r="D1137" s="154"/>
    </row>
    <row r="1138" spans="2:4" x14ac:dyDescent="0.25">
      <c r="B1138" s="92">
        <v>2020</v>
      </c>
      <c r="C1138" s="153"/>
      <c r="D1138" s="154"/>
    </row>
    <row r="1139" spans="2:4" x14ac:dyDescent="0.25">
      <c r="B1139" s="92">
        <v>2020</v>
      </c>
      <c r="C1139" s="153"/>
      <c r="D1139" s="154"/>
    </row>
    <row r="1140" spans="2:4" x14ac:dyDescent="0.25">
      <c r="B1140" s="92">
        <v>2020</v>
      </c>
      <c r="C1140" s="153"/>
      <c r="D1140" s="154"/>
    </row>
    <row r="1141" spans="2:4" x14ac:dyDescent="0.25">
      <c r="B1141" s="92">
        <v>2020</v>
      </c>
      <c r="C1141" s="153"/>
      <c r="D1141" s="154"/>
    </row>
    <row r="1142" spans="2:4" x14ac:dyDescent="0.25">
      <c r="B1142" s="46">
        <v>2020</v>
      </c>
      <c r="C1142" s="153"/>
      <c r="D1142" s="154"/>
    </row>
    <row r="1143" spans="2:4" x14ac:dyDescent="0.25">
      <c r="B1143" s="46">
        <v>2020</v>
      </c>
      <c r="C1143" s="114"/>
      <c r="D1143" s="114"/>
    </row>
    <row r="1144" spans="2:4" x14ac:dyDescent="0.25">
      <c r="B1144" s="46">
        <v>2020</v>
      </c>
      <c r="C1144" s="114"/>
      <c r="D1144" s="114"/>
    </row>
    <row r="1145" spans="2:4" x14ac:dyDescent="0.25">
      <c r="B1145" s="46">
        <v>2020</v>
      </c>
      <c r="C1145" s="114"/>
      <c r="D1145" s="114"/>
    </row>
    <row r="1146" spans="2:4" x14ac:dyDescent="0.25">
      <c r="B1146" s="46">
        <v>2020</v>
      </c>
      <c r="C1146" s="114"/>
      <c r="D1146" s="114"/>
    </row>
    <row r="1147" spans="2:4" x14ac:dyDescent="0.25">
      <c r="B1147" s="93">
        <v>2021</v>
      </c>
      <c r="C1147" s="115"/>
      <c r="D1147" s="115"/>
    </row>
    <row r="1148" spans="2:4" x14ac:dyDescent="0.25">
      <c r="B1148" s="94">
        <v>2021</v>
      </c>
      <c r="C1148" s="48"/>
      <c r="D1148" s="113"/>
    </row>
    <row r="1149" spans="2:4" x14ac:dyDescent="0.25">
      <c r="B1149" s="93">
        <v>2021</v>
      </c>
      <c r="C1149" s="115"/>
      <c r="D1149" s="115"/>
    </row>
    <row r="1150" spans="2:4" x14ac:dyDescent="0.25">
      <c r="B1150" s="92">
        <v>2021</v>
      </c>
      <c r="C1150" s="130"/>
      <c r="D1150" s="130"/>
    </row>
  </sheetData>
  <sortState ref="B99:D411">
    <sortCondition ref="B2"/>
  </sortState>
  <pageMargins left="0.7" right="0.7" top="0.75" bottom="0.75" header="0.3" footer="0.3"/>
  <tableParts count="8">
    <tablePart r:id="rId1"/>
    <tablePart r:id="rId2"/>
    <tablePart r:id="rId3"/>
    <tablePart r:id="rId4"/>
    <tablePart r:id="rId5"/>
    <tablePart r:id="rId6"/>
    <tablePart r:id="rId7"/>
    <tablePart r:id="rId8"/>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8"/>
  <sheetViews>
    <sheetView zoomScale="85" zoomScaleNormal="85" workbookViewId="0">
      <selection activeCell="A97" sqref="A97:H100"/>
    </sheetView>
  </sheetViews>
  <sheetFormatPr defaultRowHeight="15" x14ac:dyDescent="0.25"/>
  <cols>
    <col min="1" max="1" width="5.28515625" customWidth="1"/>
    <col min="2" max="2" width="20.42578125" customWidth="1"/>
    <col min="3" max="3" width="21.42578125" customWidth="1"/>
    <col min="4" max="4" width="25.28515625" customWidth="1"/>
    <col min="5" max="5" width="18.42578125" customWidth="1"/>
    <col min="6" max="6" width="18.28515625" customWidth="1"/>
    <col min="7" max="7" width="17" customWidth="1"/>
    <col min="8" max="8" width="24" customWidth="1"/>
  </cols>
  <sheetData>
    <row r="1" spans="1:9" s="4" customFormat="1" ht="15.75" x14ac:dyDescent="0.25">
      <c r="C1" s="284"/>
      <c r="D1" s="284"/>
      <c r="E1" s="284"/>
      <c r="F1" s="284"/>
      <c r="G1" s="284" t="s">
        <v>52</v>
      </c>
      <c r="H1" s="284"/>
    </row>
    <row r="2" spans="1:9" s="4" customFormat="1" ht="15.75" x14ac:dyDescent="0.25">
      <c r="C2" s="285"/>
      <c r="D2" s="285"/>
      <c r="E2" s="285"/>
      <c r="F2" s="285"/>
      <c r="G2" s="285" t="s">
        <v>0</v>
      </c>
      <c r="H2" s="285"/>
    </row>
    <row r="3" spans="1:9" s="4" customFormat="1" ht="15.75" x14ac:dyDescent="0.25">
      <c r="C3" s="285"/>
      <c r="D3" s="285"/>
      <c r="E3" s="285"/>
      <c r="F3" s="285"/>
      <c r="G3" s="285" t="s">
        <v>16</v>
      </c>
      <c r="H3" s="285"/>
    </row>
    <row r="4" spans="1:9" s="4" customFormat="1" x14ac:dyDescent="0.25"/>
    <row r="5" spans="1:9" ht="15.75" x14ac:dyDescent="0.25">
      <c r="A5" s="296" t="s">
        <v>25</v>
      </c>
      <c r="B5" s="296"/>
      <c r="C5" s="296"/>
      <c r="D5" s="296"/>
      <c r="E5" s="296"/>
      <c r="F5" s="296"/>
      <c r="G5" s="296"/>
      <c r="H5" s="296"/>
      <c r="I5" s="20"/>
    </row>
    <row r="6" spans="1:9" ht="15.75" x14ac:dyDescent="0.25">
      <c r="A6" s="19"/>
      <c r="B6" s="19"/>
      <c r="C6" s="19"/>
      <c r="D6" s="6"/>
      <c r="E6" s="6"/>
      <c r="F6" s="6"/>
      <c r="G6" s="6"/>
      <c r="H6" s="6"/>
    </row>
    <row r="7" spans="1:9" x14ac:dyDescent="0.25">
      <c r="A7" s="29" t="s">
        <v>852</v>
      </c>
      <c r="B7" s="73"/>
      <c r="C7" s="73"/>
      <c r="D7" s="26"/>
      <c r="E7" s="26"/>
      <c r="F7" s="26"/>
      <c r="G7" s="26"/>
      <c r="H7" s="26"/>
    </row>
    <row r="8" spans="1:9" x14ac:dyDescent="0.25">
      <c r="A8" s="74" t="s">
        <v>734</v>
      </c>
      <c r="B8" s="73"/>
      <c r="C8" s="73"/>
      <c r="D8" s="26"/>
      <c r="E8" s="26"/>
      <c r="F8" s="26"/>
      <c r="G8" s="26"/>
      <c r="H8" s="26"/>
    </row>
    <row r="9" spans="1:9" ht="71.25" x14ac:dyDescent="0.25">
      <c r="A9" s="75" t="s">
        <v>26</v>
      </c>
      <c r="B9" s="36" t="s">
        <v>19</v>
      </c>
      <c r="C9" s="36" t="s">
        <v>27</v>
      </c>
      <c r="D9" s="36" t="s">
        <v>28</v>
      </c>
      <c r="E9" s="36" t="s">
        <v>29</v>
      </c>
      <c r="F9" s="36" t="s">
        <v>30</v>
      </c>
      <c r="G9" s="36" t="s">
        <v>31</v>
      </c>
      <c r="H9" s="36" t="s">
        <v>32</v>
      </c>
    </row>
    <row r="10" spans="1:9" ht="90" x14ac:dyDescent="0.25">
      <c r="A10" s="33">
        <v>1</v>
      </c>
      <c r="B10" s="33" t="s">
        <v>56</v>
      </c>
      <c r="C10" s="33" t="s">
        <v>704</v>
      </c>
      <c r="D10" s="33" t="s">
        <v>705</v>
      </c>
      <c r="E10" s="33" t="s">
        <v>706</v>
      </c>
      <c r="F10" s="33" t="s">
        <v>707</v>
      </c>
      <c r="G10" s="33" t="s">
        <v>706</v>
      </c>
      <c r="H10" s="83" t="s">
        <v>725</v>
      </c>
    </row>
    <row r="11" spans="1:9" ht="75" x14ac:dyDescent="0.25">
      <c r="A11" s="33">
        <v>2</v>
      </c>
      <c r="B11" s="33" t="s">
        <v>708</v>
      </c>
      <c r="C11" s="33" t="s">
        <v>704</v>
      </c>
      <c r="D11" s="33" t="s">
        <v>709</v>
      </c>
      <c r="E11" s="33" t="s">
        <v>706</v>
      </c>
      <c r="F11" s="33" t="s">
        <v>707</v>
      </c>
      <c r="G11" s="33" t="s">
        <v>706</v>
      </c>
      <c r="H11" s="83" t="s">
        <v>725</v>
      </c>
    </row>
    <row r="12" spans="1:9" ht="45" x14ac:dyDescent="0.25">
      <c r="A12" s="271">
        <v>3</v>
      </c>
      <c r="B12" s="282" t="s">
        <v>429</v>
      </c>
      <c r="C12" s="282" t="s">
        <v>710</v>
      </c>
      <c r="D12" s="35" t="s">
        <v>711</v>
      </c>
      <c r="E12" s="271" t="s">
        <v>706</v>
      </c>
      <c r="F12" s="271" t="s">
        <v>707</v>
      </c>
      <c r="G12" s="271" t="s">
        <v>706</v>
      </c>
      <c r="H12" s="271" t="s">
        <v>725</v>
      </c>
    </row>
    <row r="13" spans="1:9" s="4" customFormat="1" ht="30" x14ac:dyDescent="0.25">
      <c r="A13" s="271"/>
      <c r="B13" s="282"/>
      <c r="C13" s="282"/>
      <c r="D13" s="35" t="s">
        <v>712</v>
      </c>
      <c r="E13" s="271"/>
      <c r="F13" s="271"/>
      <c r="G13" s="271"/>
      <c r="H13" s="271"/>
    </row>
    <row r="14" spans="1:9" s="4" customFormat="1" ht="62.25" customHeight="1" x14ac:dyDescent="0.25">
      <c r="A14" s="271">
        <v>4</v>
      </c>
      <c r="B14" s="271" t="s">
        <v>64</v>
      </c>
      <c r="C14" s="271" t="s">
        <v>713</v>
      </c>
      <c r="D14" s="33" t="s">
        <v>714</v>
      </c>
      <c r="E14" s="271" t="s">
        <v>706</v>
      </c>
      <c r="F14" s="271" t="s">
        <v>707</v>
      </c>
      <c r="G14" s="271" t="s">
        <v>706</v>
      </c>
      <c r="H14" s="271" t="s">
        <v>725</v>
      </c>
    </row>
    <row r="15" spans="1:9" s="4" customFormat="1" ht="30" x14ac:dyDescent="0.25">
      <c r="A15" s="271"/>
      <c r="B15" s="271"/>
      <c r="C15" s="271"/>
      <c r="D15" s="33" t="s">
        <v>715</v>
      </c>
      <c r="E15" s="271"/>
      <c r="F15" s="271"/>
      <c r="G15" s="271"/>
      <c r="H15" s="271"/>
    </row>
    <row r="16" spans="1:9" s="4" customFormat="1" ht="75" x14ac:dyDescent="0.25">
      <c r="A16" s="33">
        <v>5</v>
      </c>
      <c r="B16" s="33" t="s">
        <v>126</v>
      </c>
      <c r="C16" s="33" t="s">
        <v>704</v>
      </c>
      <c r="D16" s="33" t="s">
        <v>716</v>
      </c>
      <c r="E16" s="33" t="s">
        <v>706</v>
      </c>
      <c r="F16" s="33" t="s">
        <v>707</v>
      </c>
      <c r="G16" s="33" t="s">
        <v>706</v>
      </c>
      <c r="H16" s="83" t="s">
        <v>725</v>
      </c>
    </row>
    <row r="17" spans="1:8" s="4" customFormat="1" ht="105" x14ac:dyDescent="0.25">
      <c r="A17" s="33">
        <v>6</v>
      </c>
      <c r="B17" s="33" t="s">
        <v>717</v>
      </c>
      <c r="C17" s="33" t="s">
        <v>704</v>
      </c>
      <c r="D17" s="33" t="s">
        <v>718</v>
      </c>
      <c r="E17" s="33" t="s">
        <v>706</v>
      </c>
      <c r="F17" s="33" t="s">
        <v>707</v>
      </c>
      <c r="G17" s="33" t="s">
        <v>706</v>
      </c>
      <c r="H17" s="83" t="s">
        <v>725</v>
      </c>
    </row>
    <row r="18" spans="1:8" s="4" customFormat="1" ht="60" x14ac:dyDescent="0.25">
      <c r="A18" s="33">
        <v>7</v>
      </c>
      <c r="B18" s="33" t="s">
        <v>134</v>
      </c>
      <c r="C18" s="33" t="s">
        <v>704</v>
      </c>
      <c r="D18" s="33" t="s">
        <v>719</v>
      </c>
      <c r="E18" s="33" t="s">
        <v>706</v>
      </c>
      <c r="F18" s="33" t="s">
        <v>707</v>
      </c>
      <c r="G18" s="33" t="s">
        <v>706</v>
      </c>
      <c r="H18" s="83" t="s">
        <v>725</v>
      </c>
    </row>
    <row r="19" spans="1:8" s="4" customFormat="1" ht="45" x14ac:dyDescent="0.25">
      <c r="A19" s="271">
        <v>8</v>
      </c>
      <c r="B19" s="271" t="s">
        <v>137</v>
      </c>
      <c r="C19" s="271" t="s">
        <v>713</v>
      </c>
      <c r="D19" s="33" t="s">
        <v>720</v>
      </c>
      <c r="E19" s="271" t="s">
        <v>706</v>
      </c>
      <c r="F19" s="271" t="s">
        <v>707</v>
      </c>
      <c r="G19" s="271" t="s">
        <v>706</v>
      </c>
      <c r="H19" s="271" t="s">
        <v>725</v>
      </c>
    </row>
    <row r="20" spans="1:8" s="4" customFormat="1" ht="30" x14ac:dyDescent="0.25">
      <c r="A20" s="271"/>
      <c r="B20" s="271"/>
      <c r="C20" s="271"/>
      <c r="D20" s="33" t="s">
        <v>715</v>
      </c>
      <c r="E20" s="271"/>
      <c r="F20" s="271"/>
      <c r="G20" s="271"/>
      <c r="H20" s="271"/>
    </row>
    <row r="21" spans="1:8" s="4" customFormat="1" ht="105" x14ac:dyDescent="0.25">
      <c r="A21" s="33">
        <v>9</v>
      </c>
      <c r="B21" s="33" t="s">
        <v>140</v>
      </c>
      <c r="C21" s="33" t="s">
        <v>704</v>
      </c>
      <c r="D21" s="33" t="s">
        <v>721</v>
      </c>
      <c r="E21" s="33" t="s">
        <v>722</v>
      </c>
      <c r="F21" s="33" t="s">
        <v>723</v>
      </c>
      <c r="G21" s="33" t="s">
        <v>860</v>
      </c>
      <c r="H21" s="33" t="s">
        <v>725</v>
      </c>
    </row>
    <row r="22" spans="1:8" s="4" customFormat="1" ht="60" x14ac:dyDescent="0.25">
      <c r="A22" s="271">
        <v>10</v>
      </c>
      <c r="B22" s="271" t="s">
        <v>144</v>
      </c>
      <c r="C22" s="282" t="s">
        <v>710</v>
      </c>
      <c r="D22" s="35" t="s">
        <v>733</v>
      </c>
      <c r="E22" s="271" t="s">
        <v>706</v>
      </c>
      <c r="F22" s="271" t="s">
        <v>707</v>
      </c>
      <c r="G22" s="271" t="s">
        <v>706</v>
      </c>
      <c r="H22" s="271" t="s">
        <v>725</v>
      </c>
    </row>
    <row r="23" spans="1:8" s="4" customFormat="1" ht="30" x14ac:dyDescent="0.25">
      <c r="A23" s="271"/>
      <c r="B23" s="271"/>
      <c r="C23" s="282"/>
      <c r="D23" s="35" t="s">
        <v>712</v>
      </c>
      <c r="E23" s="271"/>
      <c r="F23" s="271"/>
      <c r="G23" s="271"/>
      <c r="H23" s="271"/>
    </row>
    <row r="24" spans="1:8" s="4" customFormat="1" ht="60" x14ac:dyDescent="0.25">
      <c r="A24" s="271">
        <v>11</v>
      </c>
      <c r="B24" s="282" t="s">
        <v>230</v>
      </c>
      <c r="C24" s="282" t="s">
        <v>710</v>
      </c>
      <c r="D24" s="35" t="s">
        <v>726</v>
      </c>
      <c r="E24" s="271" t="s">
        <v>706</v>
      </c>
      <c r="F24" s="271" t="s">
        <v>707</v>
      </c>
      <c r="G24" s="271" t="s">
        <v>706</v>
      </c>
      <c r="H24" s="271" t="s">
        <v>725</v>
      </c>
    </row>
    <row r="25" spans="1:8" s="4" customFormat="1" ht="30" x14ac:dyDescent="0.25">
      <c r="A25" s="271"/>
      <c r="B25" s="282"/>
      <c r="C25" s="282"/>
      <c r="D25" s="35" t="s">
        <v>712</v>
      </c>
      <c r="E25" s="271"/>
      <c r="F25" s="271"/>
      <c r="G25" s="271"/>
      <c r="H25" s="298"/>
    </row>
    <row r="26" spans="1:8" s="4" customFormat="1" ht="30" x14ac:dyDescent="0.25">
      <c r="A26" s="271">
        <v>12</v>
      </c>
      <c r="B26" s="271" t="s">
        <v>146</v>
      </c>
      <c r="C26" s="271" t="s">
        <v>713</v>
      </c>
      <c r="D26" s="33" t="s">
        <v>727</v>
      </c>
      <c r="E26" s="271" t="s">
        <v>706</v>
      </c>
      <c r="F26" s="271" t="s">
        <v>707</v>
      </c>
      <c r="G26" s="271" t="s">
        <v>706</v>
      </c>
      <c r="H26" s="271" t="s">
        <v>725</v>
      </c>
    </row>
    <row r="27" spans="1:8" s="4" customFormat="1" ht="30" x14ac:dyDescent="0.25">
      <c r="A27" s="271"/>
      <c r="B27" s="271"/>
      <c r="C27" s="271"/>
      <c r="D27" s="33" t="s">
        <v>715</v>
      </c>
      <c r="E27" s="271"/>
      <c r="F27" s="271"/>
      <c r="G27" s="271"/>
      <c r="H27" s="271"/>
    </row>
    <row r="28" spans="1:8" s="4" customFormat="1" ht="30" x14ac:dyDescent="0.25">
      <c r="A28" s="271">
        <v>13</v>
      </c>
      <c r="B28" s="271" t="s">
        <v>147</v>
      </c>
      <c r="C28" s="271" t="s">
        <v>713</v>
      </c>
      <c r="D28" s="33" t="s">
        <v>728</v>
      </c>
      <c r="E28" s="271" t="s">
        <v>706</v>
      </c>
      <c r="F28" s="271" t="s">
        <v>707</v>
      </c>
      <c r="G28" s="271" t="s">
        <v>706</v>
      </c>
      <c r="H28" s="271" t="s">
        <v>725</v>
      </c>
    </row>
    <row r="29" spans="1:8" s="4" customFormat="1" ht="30" x14ac:dyDescent="0.25">
      <c r="A29" s="271"/>
      <c r="B29" s="271"/>
      <c r="C29" s="271"/>
      <c r="D29" s="33" t="s">
        <v>715</v>
      </c>
      <c r="E29" s="271"/>
      <c r="F29" s="271"/>
      <c r="G29" s="271"/>
      <c r="H29" s="271"/>
    </row>
    <row r="30" spans="1:8" s="4" customFormat="1" ht="30" x14ac:dyDescent="0.25">
      <c r="A30" s="271">
        <v>14</v>
      </c>
      <c r="B30" s="271" t="s">
        <v>149</v>
      </c>
      <c r="C30" s="271" t="s">
        <v>713</v>
      </c>
      <c r="D30" s="33" t="s">
        <v>729</v>
      </c>
      <c r="E30" s="271" t="s">
        <v>706</v>
      </c>
      <c r="F30" s="271" t="s">
        <v>707</v>
      </c>
      <c r="G30" s="271" t="s">
        <v>706</v>
      </c>
      <c r="H30" s="271" t="s">
        <v>725</v>
      </c>
    </row>
    <row r="31" spans="1:8" s="4" customFormat="1" ht="30" x14ac:dyDescent="0.25">
      <c r="A31" s="271"/>
      <c r="B31" s="271"/>
      <c r="C31" s="271"/>
      <c r="D31" s="33" t="s">
        <v>715</v>
      </c>
      <c r="E31" s="271"/>
      <c r="F31" s="271"/>
      <c r="G31" s="271"/>
      <c r="H31" s="271"/>
    </row>
    <row r="32" spans="1:8" s="4" customFormat="1" ht="62.25" customHeight="1" x14ac:dyDescent="0.25">
      <c r="A32" s="271">
        <v>15</v>
      </c>
      <c r="B32" s="271" t="s">
        <v>156</v>
      </c>
      <c r="C32" s="271" t="s">
        <v>713</v>
      </c>
      <c r="D32" s="33" t="s">
        <v>730</v>
      </c>
      <c r="E32" s="271" t="s">
        <v>706</v>
      </c>
      <c r="F32" s="271" t="s">
        <v>707</v>
      </c>
      <c r="G32" s="271" t="s">
        <v>706</v>
      </c>
      <c r="H32" s="271" t="s">
        <v>725</v>
      </c>
    </row>
    <row r="33" spans="1:8" s="4" customFormat="1" ht="30" x14ac:dyDescent="0.25">
      <c r="A33" s="271"/>
      <c r="B33" s="271"/>
      <c r="C33" s="271"/>
      <c r="D33" s="33" t="s">
        <v>715</v>
      </c>
      <c r="E33" s="271"/>
      <c r="F33" s="271"/>
      <c r="G33" s="271"/>
      <c r="H33" s="271"/>
    </row>
    <row r="34" spans="1:8" s="4" customFormat="1" ht="30" x14ac:dyDescent="0.25">
      <c r="A34" s="271">
        <v>16</v>
      </c>
      <c r="B34" s="271" t="s">
        <v>159</v>
      </c>
      <c r="C34" s="271" t="s">
        <v>713</v>
      </c>
      <c r="D34" s="33" t="s">
        <v>731</v>
      </c>
      <c r="E34" s="271" t="s">
        <v>706</v>
      </c>
      <c r="F34" s="271" t="s">
        <v>707</v>
      </c>
      <c r="G34" s="271" t="s">
        <v>706</v>
      </c>
      <c r="H34" s="271" t="s">
        <v>725</v>
      </c>
    </row>
    <row r="35" spans="1:8" s="4" customFormat="1" ht="30" x14ac:dyDescent="0.25">
      <c r="A35" s="271"/>
      <c r="B35" s="271"/>
      <c r="C35" s="271"/>
      <c r="D35" s="33" t="s">
        <v>715</v>
      </c>
      <c r="E35" s="271"/>
      <c r="F35" s="271"/>
      <c r="G35" s="271"/>
      <c r="H35" s="271"/>
    </row>
    <row r="36" spans="1:8" s="4" customFormat="1" ht="75" x14ac:dyDescent="0.25">
      <c r="A36" s="271">
        <v>17</v>
      </c>
      <c r="B36" s="271" t="s">
        <v>161</v>
      </c>
      <c r="C36" s="271" t="s">
        <v>713</v>
      </c>
      <c r="D36" s="33" t="s">
        <v>732</v>
      </c>
      <c r="E36" s="271" t="s">
        <v>706</v>
      </c>
      <c r="F36" s="271" t="s">
        <v>707</v>
      </c>
      <c r="G36" s="271" t="s">
        <v>706</v>
      </c>
      <c r="H36" s="271" t="s">
        <v>725</v>
      </c>
    </row>
    <row r="37" spans="1:8" s="4" customFormat="1" ht="30" x14ac:dyDescent="0.25">
      <c r="A37" s="271"/>
      <c r="B37" s="271"/>
      <c r="C37" s="271"/>
      <c r="D37" s="33" t="s">
        <v>715</v>
      </c>
      <c r="E37" s="271"/>
      <c r="F37" s="271"/>
      <c r="G37" s="271"/>
      <c r="H37" s="271"/>
    </row>
    <row r="38" spans="1:8" s="4" customFormat="1" x14ac:dyDescent="0.25">
      <c r="A38" s="74" t="s">
        <v>735</v>
      </c>
      <c r="B38" s="73"/>
      <c r="C38" s="73"/>
      <c r="D38" s="26"/>
      <c r="E38" s="26"/>
      <c r="F38" s="26"/>
      <c r="G38" s="26"/>
      <c r="H38" s="26"/>
    </row>
    <row r="39" spans="1:8" s="4" customFormat="1" ht="71.25" x14ac:dyDescent="0.25">
      <c r="A39" s="75" t="s">
        <v>26</v>
      </c>
      <c r="B39" s="36" t="s">
        <v>19</v>
      </c>
      <c r="C39" s="36" t="s">
        <v>27</v>
      </c>
      <c r="D39" s="36" t="s">
        <v>28</v>
      </c>
      <c r="E39" s="36" t="s">
        <v>29</v>
      </c>
      <c r="F39" s="36" t="s">
        <v>30</v>
      </c>
      <c r="G39" s="36" t="s">
        <v>31</v>
      </c>
      <c r="H39" s="36" t="s">
        <v>32</v>
      </c>
    </row>
    <row r="40" spans="1:8" s="4" customFormat="1" ht="75" customHeight="1" x14ac:dyDescent="0.25">
      <c r="A40" s="33">
        <v>1</v>
      </c>
      <c r="B40" s="33" t="s">
        <v>67</v>
      </c>
      <c r="C40" s="33" t="s">
        <v>704</v>
      </c>
      <c r="D40" s="33" t="s">
        <v>739</v>
      </c>
      <c r="E40" s="33" t="s">
        <v>706</v>
      </c>
      <c r="F40" s="33" t="s">
        <v>707</v>
      </c>
      <c r="G40" s="33" t="s">
        <v>706</v>
      </c>
      <c r="H40" s="83" t="s">
        <v>725</v>
      </c>
    </row>
    <row r="41" spans="1:8" s="4" customFormat="1" ht="90" x14ac:dyDescent="0.25">
      <c r="A41" s="33">
        <v>2</v>
      </c>
      <c r="B41" s="33" t="s">
        <v>166</v>
      </c>
      <c r="C41" s="33" t="s">
        <v>704</v>
      </c>
      <c r="D41" s="33" t="s">
        <v>740</v>
      </c>
      <c r="E41" s="33" t="s">
        <v>706</v>
      </c>
      <c r="F41" s="33" t="s">
        <v>707</v>
      </c>
      <c r="G41" s="33" t="s">
        <v>706</v>
      </c>
      <c r="H41" s="83" t="s">
        <v>725</v>
      </c>
    </row>
    <row r="42" spans="1:8" s="4" customFormat="1" ht="180" x14ac:dyDescent="0.25">
      <c r="A42" s="271">
        <v>3</v>
      </c>
      <c r="B42" s="282" t="s">
        <v>168</v>
      </c>
      <c r="C42" s="282" t="s">
        <v>741</v>
      </c>
      <c r="D42" s="35" t="s">
        <v>742</v>
      </c>
      <c r="E42" s="33" t="s">
        <v>744</v>
      </c>
      <c r="F42" s="33" t="s">
        <v>745</v>
      </c>
      <c r="G42" s="271" t="s">
        <v>860</v>
      </c>
      <c r="H42" s="271" t="s">
        <v>725</v>
      </c>
    </row>
    <row r="43" spans="1:8" s="4" customFormat="1" ht="60" x14ac:dyDescent="0.25">
      <c r="A43" s="271"/>
      <c r="B43" s="282"/>
      <c r="C43" s="282"/>
      <c r="D43" s="35" t="s">
        <v>743</v>
      </c>
      <c r="E43" s="33" t="s">
        <v>736</v>
      </c>
      <c r="F43" s="33" t="s">
        <v>746</v>
      </c>
      <c r="G43" s="271"/>
      <c r="H43" s="271"/>
    </row>
    <row r="44" spans="1:8" s="4" customFormat="1" ht="90" x14ac:dyDescent="0.25">
      <c r="A44" s="301">
        <v>4</v>
      </c>
      <c r="B44" s="301" t="s">
        <v>170</v>
      </c>
      <c r="C44" s="301" t="s">
        <v>704</v>
      </c>
      <c r="D44" s="301" t="s">
        <v>747</v>
      </c>
      <c r="E44" s="33" t="s">
        <v>864</v>
      </c>
      <c r="F44" s="33" t="s">
        <v>737</v>
      </c>
      <c r="G44" s="299" t="s">
        <v>860</v>
      </c>
      <c r="H44" s="301" t="s">
        <v>725</v>
      </c>
    </row>
    <row r="45" spans="1:8" s="4" customFormat="1" ht="60" x14ac:dyDescent="0.25">
      <c r="A45" s="298"/>
      <c r="B45" s="298"/>
      <c r="C45" s="298"/>
      <c r="D45" s="298"/>
      <c r="E45" s="83" t="s">
        <v>736</v>
      </c>
      <c r="F45" s="83" t="s">
        <v>746</v>
      </c>
      <c r="G45" s="300"/>
      <c r="H45" s="298"/>
    </row>
    <row r="46" spans="1:8" s="4" customFormat="1" ht="147" customHeight="1" x14ac:dyDescent="0.25">
      <c r="A46" s="271">
        <v>5</v>
      </c>
      <c r="B46" s="282" t="s">
        <v>172</v>
      </c>
      <c r="C46" s="282" t="s">
        <v>741</v>
      </c>
      <c r="D46" s="35" t="s">
        <v>748</v>
      </c>
      <c r="E46" s="33" t="s">
        <v>744</v>
      </c>
      <c r="F46" s="33" t="s">
        <v>745</v>
      </c>
      <c r="G46" s="271" t="s">
        <v>724</v>
      </c>
      <c r="H46" s="271" t="s">
        <v>725</v>
      </c>
    </row>
    <row r="47" spans="1:8" s="4" customFormat="1" ht="60" x14ac:dyDescent="0.25">
      <c r="A47" s="271"/>
      <c r="B47" s="282"/>
      <c r="C47" s="282"/>
      <c r="D47" s="35" t="s">
        <v>749</v>
      </c>
      <c r="E47" s="33" t="s">
        <v>736</v>
      </c>
      <c r="F47" s="33" t="s">
        <v>746</v>
      </c>
      <c r="G47" s="271"/>
      <c r="H47" s="271"/>
    </row>
    <row r="48" spans="1:8" s="4" customFormat="1" ht="62.25" customHeight="1" x14ac:dyDescent="0.25">
      <c r="A48" s="271">
        <v>6</v>
      </c>
      <c r="B48" s="271" t="s">
        <v>69</v>
      </c>
      <c r="C48" s="271" t="s">
        <v>713</v>
      </c>
      <c r="D48" s="33" t="s">
        <v>750</v>
      </c>
      <c r="E48" s="271" t="s">
        <v>706</v>
      </c>
      <c r="F48" s="271" t="s">
        <v>707</v>
      </c>
      <c r="G48" s="271" t="s">
        <v>860</v>
      </c>
      <c r="H48" s="271" t="s">
        <v>725</v>
      </c>
    </row>
    <row r="49" spans="1:8" s="4" customFormat="1" ht="30" x14ac:dyDescent="0.25">
      <c r="A49" s="271"/>
      <c r="B49" s="271"/>
      <c r="C49" s="271"/>
      <c r="D49" s="33" t="s">
        <v>715</v>
      </c>
      <c r="E49" s="271"/>
      <c r="F49" s="271"/>
      <c r="G49" s="271"/>
      <c r="H49" s="271"/>
    </row>
    <row r="50" spans="1:8" s="4" customFormat="1" ht="150" x14ac:dyDescent="0.25">
      <c r="A50" s="33">
        <v>7</v>
      </c>
      <c r="B50" s="33" t="s">
        <v>751</v>
      </c>
      <c r="C50" s="33" t="s">
        <v>704</v>
      </c>
      <c r="D50" s="33" t="s">
        <v>752</v>
      </c>
      <c r="E50" s="33" t="s">
        <v>706</v>
      </c>
      <c r="F50" s="33" t="s">
        <v>707</v>
      </c>
      <c r="G50" s="33" t="s">
        <v>706</v>
      </c>
      <c r="H50" s="83" t="s">
        <v>725</v>
      </c>
    </row>
    <row r="51" spans="1:8" s="4" customFormat="1" ht="60" x14ac:dyDescent="0.25">
      <c r="A51" s="33">
        <v>8</v>
      </c>
      <c r="B51" s="33" t="s">
        <v>492</v>
      </c>
      <c r="C51" s="33" t="s">
        <v>704</v>
      </c>
      <c r="D51" s="33" t="s">
        <v>753</v>
      </c>
      <c r="E51" s="33" t="s">
        <v>706</v>
      </c>
      <c r="F51" s="33" t="s">
        <v>707</v>
      </c>
      <c r="G51" s="33" t="s">
        <v>706</v>
      </c>
      <c r="H51" s="83" t="s">
        <v>725</v>
      </c>
    </row>
    <row r="52" spans="1:8" s="4" customFormat="1" ht="75" x14ac:dyDescent="0.25">
      <c r="A52" s="33">
        <v>9</v>
      </c>
      <c r="B52" s="33" t="s">
        <v>181</v>
      </c>
      <c r="C52" s="33" t="s">
        <v>704</v>
      </c>
      <c r="D52" s="33" t="s">
        <v>754</v>
      </c>
      <c r="E52" s="33" t="s">
        <v>736</v>
      </c>
      <c r="F52" s="33" t="s">
        <v>738</v>
      </c>
      <c r="G52" s="33" t="s">
        <v>860</v>
      </c>
      <c r="H52" s="83" t="s">
        <v>725</v>
      </c>
    </row>
    <row r="53" spans="1:8" s="4" customFormat="1" ht="54.75" customHeight="1" x14ac:dyDescent="0.25">
      <c r="A53" s="33">
        <v>10</v>
      </c>
      <c r="B53" s="33" t="s">
        <v>386</v>
      </c>
      <c r="C53" s="33" t="s">
        <v>704</v>
      </c>
      <c r="D53" s="33" t="s">
        <v>755</v>
      </c>
      <c r="E53" s="33" t="s">
        <v>706</v>
      </c>
      <c r="F53" s="33" t="s">
        <v>707</v>
      </c>
      <c r="G53" s="33" t="s">
        <v>706</v>
      </c>
      <c r="H53" s="83" t="s">
        <v>725</v>
      </c>
    </row>
    <row r="54" spans="1:8" s="4" customFormat="1" ht="60" x14ac:dyDescent="0.25">
      <c r="A54" s="33">
        <v>11</v>
      </c>
      <c r="B54" s="33" t="s">
        <v>184</v>
      </c>
      <c r="C54" s="33" t="s">
        <v>704</v>
      </c>
      <c r="D54" s="33" t="s">
        <v>756</v>
      </c>
      <c r="E54" s="33" t="s">
        <v>706</v>
      </c>
      <c r="F54" s="33" t="s">
        <v>707</v>
      </c>
      <c r="G54" s="33" t="s">
        <v>706</v>
      </c>
      <c r="H54" s="83" t="s">
        <v>725</v>
      </c>
    </row>
    <row r="55" spans="1:8" s="4" customFormat="1" ht="123.75" customHeight="1" x14ac:dyDescent="0.25">
      <c r="A55" s="271">
        <v>12</v>
      </c>
      <c r="B55" s="282" t="s">
        <v>757</v>
      </c>
      <c r="C55" s="282" t="s">
        <v>758</v>
      </c>
      <c r="D55" s="35" t="s">
        <v>759</v>
      </c>
      <c r="E55" s="33" t="s">
        <v>744</v>
      </c>
      <c r="F55" s="33" t="s">
        <v>745</v>
      </c>
      <c r="G55" s="271" t="s">
        <v>860</v>
      </c>
      <c r="H55" s="271" t="s">
        <v>725</v>
      </c>
    </row>
    <row r="56" spans="1:8" s="4" customFormat="1" ht="60" x14ac:dyDescent="0.25">
      <c r="A56" s="271"/>
      <c r="B56" s="282"/>
      <c r="C56" s="282"/>
      <c r="D56" s="35" t="s">
        <v>760</v>
      </c>
      <c r="E56" s="33" t="s">
        <v>736</v>
      </c>
      <c r="F56" s="33" t="s">
        <v>746</v>
      </c>
      <c r="G56" s="271"/>
      <c r="H56" s="271"/>
    </row>
    <row r="57" spans="1:8" s="4" customFormat="1" ht="70.5" customHeight="1" x14ac:dyDescent="0.25">
      <c r="A57" s="35">
        <v>13</v>
      </c>
      <c r="B57" s="35" t="s">
        <v>73</v>
      </c>
      <c r="C57" s="35" t="s">
        <v>704</v>
      </c>
      <c r="D57" s="35" t="s">
        <v>761</v>
      </c>
      <c r="E57" s="33" t="s">
        <v>706</v>
      </c>
      <c r="F57" s="33" t="s">
        <v>707</v>
      </c>
      <c r="G57" s="33" t="s">
        <v>706</v>
      </c>
      <c r="H57" s="83" t="s">
        <v>725</v>
      </c>
    </row>
    <row r="58" spans="1:8" s="4" customFormat="1" ht="60" x14ac:dyDescent="0.25">
      <c r="A58" s="33">
        <v>14</v>
      </c>
      <c r="B58" s="33" t="s">
        <v>190</v>
      </c>
      <c r="C58" s="33" t="s">
        <v>704</v>
      </c>
      <c r="D58" s="33" t="s">
        <v>762</v>
      </c>
      <c r="E58" s="33" t="s">
        <v>706</v>
      </c>
      <c r="F58" s="33" t="s">
        <v>707</v>
      </c>
      <c r="G58" s="33" t="s">
        <v>706</v>
      </c>
      <c r="H58" s="83" t="s">
        <v>725</v>
      </c>
    </row>
    <row r="59" spans="1:8" s="4" customFormat="1" ht="52.5" customHeight="1" x14ac:dyDescent="0.25">
      <c r="A59" s="33">
        <v>15</v>
      </c>
      <c r="B59" s="33" t="s">
        <v>193</v>
      </c>
      <c r="C59" s="33" t="s">
        <v>704</v>
      </c>
      <c r="D59" s="33" t="s">
        <v>763</v>
      </c>
      <c r="E59" s="33" t="s">
        <v>706</v>
      </c>
      <c r="F59" s="33" t="s">
        <v>707</v>
      </c>
      <c r="G59" s="33" t="s">
        <v>706</v>
      </c>
      <c r="H59" s="83" t="s">
        <v>725</v>
      </c>
    </row>
    <row r="60" spans="1:8" s="4" customFormat="1" ht="75" x14ac:dyDescent="0.25">
      <c r="A60" s="33">
        <v>16</v>
      </c>
      <c r="B60" s="33" t="s">
        <v>195</v>
      </c>
      <c r="C60" s="33" t="s">
        <v>704</v>
      </c>
      <c r="D60" s="33" t="s">
        <v>764</v>
      </c>
      <c r="E60" s="33" t="s">
        <v>736</v>
      </c>
      <c r="F60" s="33" t="s">
        <v>738</v>
      </c>
      <c r="G60" s="33" t="s">
        <v>860</v>
      </c>
      <c r="H60" s="83" t="s">
        <v>725</v>
      </c>
    </row>
    <row r="61" spans="1:8" s="4" customFormat="1" ht="42.75" customHeight="1" x14ac:dyDescent="0.25">
      <c r="A61" s="271">
        <v>17</v>
      </c>
      <c r="B61" s="271" t="s">
        <v>197</v>
      </c>
      <c r="C61" s="271" t="s">
        <v>765</v>
      </c>
      <c r="D61" s="33" t="s">
        <v>766</v>
      </c>
      <c r="E61" s="271" t="s">
        <v>706</v>
      </c>
      <c r="F61" s="271" t="s">
        <v>707</v>
      </c>
      <c r="G61" s="271" t="s">
        <v>706</v>
      </c>
      <c r="H61" s="271" t="s">
        <v>725</v>
      </c>
    </row>
    <row r="62" spans="1:8" s="4" customFormat="1" ht="45" x14ac:dyDescent="0.25">
      <c r="A62" s="271"/>
      <c r="B62" s="271"/>
      <c r="C62" s="271"/>
      <c r="D62" s="33" t="s">
        <v>767</v>
      </c>
      <c r="E62" s="271"/>
      <c r="F62" s="271"/>
      <c r="G62" s="271"/>
      <c r="H62" s="271"/>
    </row>
    <row r="63" spans="1:8" s="4" customFormat="1" ht="51" customHeight="1" x14ac:dyDescent="0.25">
      <c r="A63" s="271">
        <v>18</v>
      </c>
      <c r="B63" s="271" t="s">
        <v>75</v>
      </c>
      <c r="C63" s="271" t="s">
        <v>768</v>
      </c>
      <c r="D63" s="33" t="s">
        <v>769</v>
      </c>
      <c r="E63" s="271" t="s">
        <v>706</v>
      </c>
      <c r="F63" s="271" t="s">
        <v>707</v>
      </c>
      <c r="G63" s="271" t="s">
        <v>706</v>
      </c>
      <c r="H63" s="271" t="s">
        <v>725</v>
      </c>
    </row>
    <row r="64" spans="1:8" s="4" customFormat="1" ht="45" x14ac:dyDescent="0.25">
      <c r="A64" s="271"/>
      <c r="B64" s="271"/>
      <c r="C64" s="271"/>
      <c r="D64" s="33" t="s">
        <v>770</v>
      </c>
      <c r="E64" s="271"/>
      <c r="F64" s="271"/>
      <c r="G64" s="271"/>
      <c r="H64" s="271"/>
    </row>
    <row r="65" spans="1:8" s="4" customFormat="1" ht="75" x14ac:dyDescent="0.25">
      <c r="A65" s="33">
        <v>19</v>
      </c>
      <c r="B65" s="33" t="s">
        <v>203</v>
      </c>
      <c r="C65" s="33" t="s">
        <v>704</v>
      </c>
      <c r="D65" s="33" t="s">
        <v>771</v>
      </c>
      <c r="E65" s="33" t="s">
        <v>736</v>
      </c>
      <c r="F65" s="33" t="s">
        <v>738</v>
      </c>
      <c r="G65" s="33" t="s">
        <v>860</v>
      </c>
      <c r="H65" s="83" t="s">
        <v>725</v>
      </c>
    </row>
    <row r="66" spans="1:8" s="4" customFormat="1" ht="75" x14ac:dyDescent="0.25">
      <c r="A66" s="33">
        <v>20</v>
      </c>
      <c r="B66" s="33" t="s">
        <v>204</v>
      </c>
      <c r="C66" s="33" t="s">
        <v>704</v>
      </c>
      <c r="D66" s="33" t="s">
        <v>772</v>
      </c>
      <c r="E66" s="33" t="s">
        <v>773</v>
      </c>
      <c r="F66" s="33" t="s">
        <v>774</v>
      </c>
      <c r="G66" s="33" t="s">
        <v>775</v>
      </c>
      <c r="H66" s="83" t="s">
        <v>725</v>
      </c>
    </row>
    <row r="67" spans="1:8" s="4" customFormat="1" x14ac:dyDescent="0.25">
      <c r="A67" s="74" t="s">
        <v>776</v>
      </c>
      <c r="B67" s="73"/>
      <c r="C67" s="73"/>
      <c r="D67" s="26"/>
      <c r="E67" s="26"/>
      <c r="F67" s="26"/>
      <c r="G67" s="26"/>
      <c r="H67" s="26"/>
    </row>
    <row r="68" spans="1:8" s="4" customFormat="1" ht="71.25" x14ac:dyDescent="0.25">
      <c r="A68" s="75" t="s">
        <v>26</v>
      </c>
      <c r="B68" s="36" t="s">
        <v>19</v>
      </c>
      <c r="C68" s="36" t="s">
        <v>27</v>
      </c>
      <c r="D68" s="36" t="s">
        <v>28</v>
      </c>
      <c r="E68" s="36" t="s">
        <v>29</v>
      </c>
      <c r="F68" s="36" t="s">
        <v>30</v>
      </c>
      <c r="G68" s="36" t="s">
        <v>31</v>
      </c>
      <c r="H68" s="36" t="s">
        <v>32</v>
      </c>
    </row>
    <row r="69" spans="1:8" s="4" customFormat="1" ht="120" x14ac:dyDescent="0.25">
      <c r="A69" s="271">
        <v>1</v>
      </c>
      <c r="B69" s="271" t="s">
        <v>105</v>
      </c>
      <c r="C69" s="271" t="s">
        <v>777</v>
      </c>
      <c r="D69" s="33" t="s">
        <v>778</v>
      </c>
      <c r="E69" s="271" t="s">
        <v>780</v>
      </c>
      <c r="F69" s="271" t="s">
        <v>781</v>
      </c>
      <c r="G69" s="271" t="s">
        <v>860</v>
      </c>
      <c r="H69" s="271" t="s">
        <v>725</v>
      </c>
    </row>
    <row r="70" spans="1:8" s="4" customFormat="1" ht="120" x14ac:dyDescent="0.25">
      <c r="A70" s="271"/>
      <c r="B70" s="271"/>
      <c r="C70" s="271"/>
      <c r="D70" s="33" t="s">
        <v>779</v>
      </c>
      <c r="E70" s="271"/>
      <c r="F70" s="271"/>
      <c r="G70" s="271"/>
      <c r="H70" s="271"/>
    </row>
    <row r="71" spans="1:8" s="4" customFormat="1" ht="45" x14ac:dyDescent="0.25">
      <c r="A71" s="271">
        <v>2</v>
      </c>
      <c r="B71" s="271" t="s">
        <v>208</v>
      </c>
      <c r="C71" s="271" t="s">
        <v>704</v>
      </c>
      <c r="D71" s="271" t="s">
        <v>782</v>
      </c>
      <c r="E71" s="33" t="s">
        <v>783</v>
      </c>
      <c r="F71" s="33" t="s">
        <v>785</v>
      </c>
      <c r="G71" s="271" t="s">
        <v>860</v>
      </c>
      <c r="H71" s="271" t="s">
        <v>725</v>
      </c>
    </row>
    <row r="72" spans="1:8" s="4" customFormat="1" ht="75" x14ac:dyDescent="0.25">
      <c r="A72" s="271"/>
      <c r="B72" s="271"/>
      <c r="C72" s="271"/>
      <c r="D72" s="271"/>
      <c r="E72" s="33" t="s">
        <v>784</v>
      </c>
      <c r="F72" s="33" t="s">
        <v>786</v>
      </c>
      <c r="G72" s="271"/>
      <c r="H72" s="271"/>
    </row>
    <row r="73" spans="1:8" s="4" customFormat="1" ht="30" x14ac:dyDescent="0.25">
      <c r="A73" s="271"/>
      <c r="B73" s="271"/>
      <c r="C73" s="271"/>
      <c r="D73" s="271"/>
      <c r="E73" s="33" t="s">
        <v>780</v>
      </c>
      <c r="F73" s="76"/>
      <c r="G73" s="271"/>
      <c r="H73" s="271"/>
    </row>
    <row r="74" spans="1:8" s="4" customFormat="1" ht="120" x14ac:dyDescent="0.25">
      <c r="A74" s="271">
        <v>3</v>
      </c>
      <c r="B74" s="271" t="s">
        <v>210</v>
      </c>
      <c r="C74" s="271" t="s">
        <v>704</v>
      </c>
      <c r="D74" s="33" t="s">
        <v>787</v>
      </c>
      <c r="E74" s="33" t="s">
        <v>789</v>
      </c>
      <c r="F74" s="33" t="s">
        <v>790</v>
      </c>
      <c r="G74" s="271" t="s">
        <v>860</v>
      </c>
      <c r="H74" s="271" t="s">
        <v>725</v>
      </c>
    </row>
    <row r="75" spans="1:8" s="4" customFormat="1" ht="45" x14ac:dyDescent="0.25">
      <c r="A75" s="271"/>
      <c r="B75" s="271"/>
      <c r="C75" s="271"/>
      <c r="D75" s="33" t="s">
        <v>788</v>
      </c>
      <c r="E75" s="33" t="s">
        <v>706</v>
      </c>
      <c r="F75" s="33" t="s">
        <v>707</v>
      </c>
      <c r="G75" s="271"/>
      <c r="H75" s="271"/>
    </row>
    <row r="76" spans="1:8" s="4" customFormat="1" ht="75" x14ac:dyDescent="0.25">
      <c r="A76" s="271">
        <v>4</v>
      </c>
      <c r="B76" s="271" t="s">
        <v>212</v>
      </c>
      <c r="C76" s="271" t="s">
        <v>791</v>
      </c>
      <c r="D76" s="33" t="s">
        <v>862</v>
      </c>
      <c r="E76" s="271" t="s">
        <v>706</v>
      </c>
      <c r="F76" s="271" t="s">
        <v>707</v>
      </c>
      <c r="G76" s="271" t="s">
        <v>860</v>
      </c>
      <c r="H76" s="271" t="s">
        <v>725</v>
      </c>
    </row>
    <row r="77" spans="1:8" s="4" customFormat="1" ht="75" x14ac:dyDescent="0.25">
      <c r="A77" s="271"/>
      <c r="B77" s="271"/>
      <c r="C77" s="271"/>
      <c r="D77" s="33" t="s">
        <v>861</v>
      </c>
      <c r="E77" s="271"/>
      <c r="F77" s="271"/>
      <c r="G77" s="271"/>
      <c r="H77" s="271"/>
    </row>
    <row r="78" spans="1:8" s="4" customFormat="1" ht="53.25" customHeight="1" x14ac:dyDescent="0.25">
      <c r="A78" s="271"/>
      <c r="B78" s="271"/>
      <c r="C78" s="271"/>
      <c r="D78" s="33" t="s">
        <v>792</v>
      </c>
      <c r="E78" s="271"/>
      <c r="F78" s="271"/>
      <c r="G78" s="271"/>
      <c r="H78" s="271"/>
    </row>
    <row r="79" spans="1:8" s="4" customFormat="1" ht="30" x14ac:dyDescent="0.25">
      <c r="A79" s="271">
        <v>5</v>
      </c>
      <c r="B79" s="271" t="s">
        <v>214</v>
      </c>
      <c r="C79" s="271" t="s">
        <v>704</v>
      </c>
      <c r="D79" s="271" t="s">
        <v>793</v>
      </c>
      <c r="E79" s="33" t="s">
        <v>794</v>
      </c>
      <c r="F79" s="271" t="s">
        <v>723</v>
      </c>
      <c r="G79" s="271" t="s">
        <v>860</v>
      </c>
      <c r="H79" s="271" t="s">
        <v>725</v>
      </c>
    </row>
    <row r="80" spans="1:8" s="4" customFormat="1" ht="25.5" customHeight="1" x14ac:dyDescent="0.25">
      <c r="A80" s="271"/>
      <c r="B80" s="271"/>
      <c r="C80" s="271"/>
      <c r="D80" s="271"/>
      <c r="E80" s="33" t="s">
        <v>795</v>
      </c>
      <c r="F80" s="271"/>
      <c r="G80" s="271"/>
      <c r="H80" s="271"/>
    </row>
    <row r="81" spans="1:8" s="4" customFormat="1" ht="30" x14ac:dyDescent="0.25">
      <c r="A81" s="271"/>
      <c r="B81" s="271"/>
      <c r="C81" s="271"/>
      <c r="D81" s="271"/>
      <c r="E81" s="33" t="s">
        <v>796</v>
      </c>
      <c r="F81" s="271"/>
      <c r="G81" s="271"/>
      <c r="H81" s="271"/>
    </row>
    <row r="82" spans="1:8" s="4" customFormat="1" x14ac:dyDescent="0.25">
      <c r="A82" s="271"/>
      <c r="B82" s="271"/>
      <c r="C82" s="271"/>
      <c r="D82" s="271"/>
      <c r="E82" s="33" t="s">
        <v>797</v>
      </c>
      <c r="F82" s="271"/>
      <c r="G82" s="271"/>
      <c r="H82" s="271"/>
    </row>
    <row r="83" spans="1:8" s="4" customFormat="1" x14ac:dyDescent="0.25">
      <c r="A83" s="271"/>
      <c r="B83" s="271"/>
      <c r="C83" s="271"/>
      <c r="D83" s="271"/>
      <c r="E83" s="33" t="s">
        <v>798</v>
      </c>
      <c r="F83" s="271"/>
      <c r="G83" s="271"/>
      <c r="H83" s="271"/>
    </row>
    <row r="84" spans="1:8" s="4" customFormat="1" x14ac:dyDescent="0.25">
      <c r="A84" s="271"/>
      <c r="B84" s="271"/>
      <c r="C84" s="271"/>
      <c r="D84" s="271"/>
      <c r="E84" s="33" t="s">
        <v>799</v>
      </c>
      <c r="F84" s="271"/>
      <c r="G84" s="271"/>
      <c r="H84" s="271"/>
    </row>
    <row r="85" spans="1:8" s="4" customFormat="1" x14ac:dyDescent="0.25">
      <c r="A85" s="271"/>
      <c r="B85" s="271"/>
      <c r="C85" s="271"/>
      <c r="D85" s="271"/>
      <c r="E85" s="33" t="s">
        <v>800</v>
      </c>
      <c r="F85" s="271"/>
      <c r="G85" s="271"/>
      <c r="H85" s="271"/>
    </row>
    <row r="86" spans="1:8" s="4" customFormat="1" ht="30" x14ac:dyDescent="0.25">
      <c r="A86" s="271"/>
      <c r="B86" s="271"/>
      <c r="C86" s="271"/>
      <c r="D86" s="271"/>
      <c r="E86" s="33" t="s">
        <v>801</v>
      </c>
      <c r="F86" s="271"/>
      <c r="G86" s="271"/>
      <c r="H86" s="271"/>
    </row>
    <row r="87" spans="1:8" s="4" customFormat="1" ht="53.25" customHeight="1" x14ac:dyDescent="0.25">
      <c r="A87" s="271">
        <v>6</v>
      </c>
      <c r="B87" s="271" t="s">
        <v>216</v>
      </c>
      <c r="C87" s="271" t="s">
        <v>704</v>
      </c>
      <c r="D87" s="271" t="s">
        <v>802</v>
      </c>
      <c r="E87" s="33" t="s">
        <v>744</v>
      </c>
      <c r="F87" s="271" t="s">
        <v>723</v>
      </c>
      <c r="G87" s="271" t="s">
        <v>860</v>
      </c>
      <c r="H87" s="271" t="s">
        <v>725</v>
      </c>
    </row>
    <row r="88" spans="1:8" s="4" customFormat="1" ht="38.25" customHeight="1" x14ac:dyDescent="0.25">
      <c r="A88" s="271"/>
      <c r="B88" s="271"/>
      <c r="C88" s="271"/>
      <c r="D88" s="271"/>
      <c r="E88" s="301" t="s">
        <v>736</v>
      </c>
      <c r="F88" s="271"/>
      <c r="G88" s="271"/>
      <c r="H88" s="271"/>
    </row>
    <row r="89" spans="1:8" s="4" customFormat="1" x14ac:dyDescent="0.25">
      <c r="A89" s="271"/>
      <c r="B89" s="271"/>
      <c r="C89" s="271"/>
      <c r="D89" s="271"/>
      <c r="E89" s="298"/>
      <c r="F89" s="271"/>
      <c r="G89" s="271"/>
      <c r="H89" s="271"/>
    </row>
    <row r="90" spans="1:8" s="4" customFormat="1" ht="180" x14ac:dyDescent="0.25">
      <c r="A90" s="271">
        <v>7</v>
      </c>
      <c r="B90" s="282" t="s">
        <v>168</v>
      </c>
      <c r="C90" s="282" t="s">
        <v>741</v>
      </c>
      <c r="D90" s="35" t="s">
        <v>742</v>
      </c>
      <c r="E90" s="33" t="s">
        <v>744</v>
      </c>
      <c r="F90" s="33" t="s">
        <v>745</v>
      </c>
      <c r="G90" s="271" t="s">
        <v>860</v>
      </c>
      <c r="H90" s="271" t="s">
        <v>725</v>
      </c>
    </row>
    <row r="91" spans="1:8" s="4" customFormat="1" ht="60" x14ac:dyDescent="0.25">
      <c r="A91" s="271"/>
      <c r="B91" s="282"/>
      <c r="C91" s="282"/>
      <c r="D91" s="35" t="s">
        <v>743</v>
      </c>
      <c r="E91" s="33" t="s">
        <v>736</v>
      </c>
      <c r="F91" s="33" t="s">
        <v>746</v>
      </c>
      <c r="G91" s="271"/>
      <c r="H91" s="271"/>
    </row>
    <row r="92" spans="1:8" s="4" customFormat="1" ht="60" x14ac:dyDescent="0.25">
      <c r="A92" s="271">
        <v>8</v>
      </c>
      <c r="B92" s="271" t="s">
        <v>219</v>
      </c>
      <c r="C92" s="271" t="s">
        <v>741</v>
      </c>
      <c r="D92" s="33" t="s">
        <v>803</v>
      </c>
      <c r="E92" s="271" t="s">
        <v>736</v>
      </c>
      <c r="F92" s="271" t="s">
        <v>746</v>
      </c>
      <c r="G92" s="271" t="s">
        <v>860</v>
      </c>
      <c r="H92" s="271" t="s">
        <v>725</v>
      </c>
    </row>
    <row r="93" spans="1:8" s="4" customFormat="1" ht="60" x14ac:dyDescent="0.25">
      <c r="A93" s="271"/>
      <c r="B93" s="271"/>
      <c r="C93" s="271"/>
      <c r="D93" s="33" t="s">
        <v>804</v>
      </c>
      <c r="E93" s="271"/>
      <c r="F93" s="271"/>
      <c r="G93" s="271"/>
      <c r="H93" s="271"/>
    </row>
    <row r="94" spans="1:8" s="4" customFormat="1" ht="75" x14ac:dyDescent="0.25">
      <c r="A94" s="271">
        <v>9</v>
      </c>
      <c r="B94" s="271" t="s">
        <v>221</v>
      </c>
      <c r="C94" s="271" t="s">
        <v>704</v>
      </c>
      <c r="D94" s="271" t="s">
        <v>805</v>
      </c>
      <c r="E94" s="33" t="s">
        <v>860</v>
      </c>
      <c r="F94" s="33" t="s">
        <v>806</v>
      </c>
      <c r="G94" s="271" t="s">
        <v>860</v>
      </c>
      <c r="H94" s="271" t="s">
        <v>725</v>
      </c>
    </row>
    <row r="95" spans="1:8" s="4" customFormat="1" ht="60" x14ac:dyDescent="0.25">
      <c r="A95" s="271"/>
      <c r="B95" s="271"/>
      <c r="C95" s="271"/>
      <c r="D95" s="271"/>
      <c r="E95" s="33" t="s">
        <v>736</v>
      </c>
      <c r="F95" s="33" t="s">
        <v>746</v>
      </c>
      <c r="G95" s="271"/>
      <c r="H95" s="271"/>
    </row>
    <row r="96" spans="1:8" s="4" customFormat="1" ht="75" x14ac:dyDescent="0.25">
      <c r="A96" s="33">
        <v>10</v>
      </c>
      <c r="B96" s="33" t="s">
        <v>428</v>
      </c>
      <c r="C96" s="33" t="s">
        <v>704</v>
      </c>
      <c r="D96" s="33" t="s">
        <v>807</v>
      </c>
      <c r="E96" s="33" t="s">
        <v>736</v>
      </c>
      <c r="F96" s="33" t="s">
        <v>808</v>
      </c>
      <c r="G96" s="33" t="s">
        <v>860</v>
      </c>
      <c r="H96" s="83" t="s">
        <v>725</v>
      </c>
    </row>
    <row r="97" spans="1:8" s="4" customFormat="1" ht="90" x14ac:dyDescent="0.25">
      <c r="A97" s="33">
        <v>11</v>
      </c>
      <c r="B97" s="33" t="s">
        <v>226</v>
      </c>
      <c r="C97" s="33" t="s">
        <v>704</v>
      </c>
      <c r="D97" s="33" t="s">
        <v>809</v>
      </c>
      <c r="E97" s="33" t="s">
        <v>736</v>
      </c>
      <c r="F97" s="33" t="s">
        <v>738</v>
      </c>
      <c r="G97" s="33" t="s">
        <v>860</v>
      </c>
      <c r="H97" s="83" t="s">
        <v>725</v>
      </c>
    </row>
    <row r="98" spans="1:8" s="4" customFormat="1" ht="75" x14ac:dyDescent="0.25">
      <c r="A98" s="33">
        <v>12</v>
      </c>
      <c r="B98" s="33" t="s">
        <v>228</v>
      </c>
      <c r="C98" s="33" t="s">
        <v>704</v>
      </c>
      <c r="D98" s="33" t="s">
        <v>810</v>
      </c>
      <c r="E98" s="33" t="s">
        <v>736</v>
      </c>
      <c r="F98" s="33" t="s">
        <v>738</v>
      </c>
      <c r="G98" s="33" t="s">
        <v>860</v>
      </c>
      <c r="H98" s="83" t="s">
        <v>725</v>
      </c>
    </row>
    <row r="99" spans="1:8" x14ac:dyDescent="0.25">
      <c r="A99" s="297" t="s">
        <v>33</v>
      </c>
      <c r="B99" s="297"/>
      <c r="C99" s="297"/>
      <c r="D99" s="297"/>
      <c r="E99" s="297"/>
      <c r="F99" s="297"/>
      <c r="G99" s="297"/>
      <c r="H99" s="297"/>
    </row>
    <row r="100" spans="1:8" x14ac:dyDescent="0.25">
      <c r="A100" s="279" t="s">
        <v>34</v>
      </c>
      <c r="B100" s="279"/>
      <c r="C100" s="279"/>
      <c r="D100" s="279"/>
      <c r="E100" s="279"/>
      <c r="F100" s="279"/>
      <c r="G100" s="279"/>
      <c r="H100" s="279"/>
    </row>
    <row r="101" spans="1:8" ht="15.75" x14ac:dyDescent="0.25">
      <c r="A101" s="19"/>
      <c r="B101" s="19"/>
      <c r="C101" s="19"/>
      <c r="D101" s="6"/>
      <c r="E101" s="6"/>
      <c r="F101" s="6"/>
      <c r="G101" s="6"/>
      <c r="H101" s="6"/>
    </row>
    <row r="102" spans="1:8" ht="15.75" x14ac:dyDescent="0.25">
      <c r="A102" s="19"/>
      <c r="B102" s="19"/>
      <c r="C102" s="19"/>
      <c r="D102" s="6"/>
      <c r="E102" s="6"/>
      <c r="F102" s="6"/>
      <c r="G102" s="6"/>
      <c r="H102" s="6"/>
    </row>
    <row r="103" spans="1:8" ht="15.75" x14ac:dyDescent="0.25">
      <c r="A103" s="19"/>
      <c r="B103" s="19"/>
      <c r="C103" s="19"/>
      <c r="D103" s="6"/>
      <c r="E103" s="6"/>
      <c r="F103" s="6"/>
      <c r="G103" s="6"/>
      <c r="H103" s="6"/>
    </row>
    <row r="104" spans="1:8" ht="15.75" x14ac:dyDescent="0.25">
      <c r="A104" s="19"/>
      <c r="B104" s="19"/>
      <c r="C104" s="19"/>
      <c r="D104" s="6"/>
      <c r="E104" s="6"/>
      <c r="F104" s="6"/>
      <c r="G104" s="6"/>
      <c r="H104" s="6"/>
    </row>
    <row r="105" spans="1:8" ht="15.75" x14ac:dyDescent="0.25">
      <c r="A105" s="19"/>
      <c r="B105" s="19"/>
      <c r="C105" s="19"/>
      <c r="D105" s="6"/>
      <c r="E105" s="6"/>
      <c r="F105" s="6"/>
      <c r="G105" s="6"/>
      <c r="H105" s="6"/>
    </row>
    <row r="106" spans="1:8" ht="15.75" x14ac:dyDescent="0.25">
      <c r="A106" s="19"/>
      <c r="B106" s="19"/>
      <c r="C106" s="19"/>
      <c r="D106" s="6"/>
      <c r="E106" s="6"/>
      <c r="F106" s="6"/>
      <c r="G106" s="6"/>
      <c r="H106" s="6"/>
    </row>
    <row r="107" spans="1:8" ht="15.75" x14ac:dyDescent="0.25">
      <c r="A107" s="19"/>
      <c r="B107" s="19"/>
      <c r="C107" s="19"/>
      <c r="D107" s="6"/>
      <c r="E107" s="6"/>
      <c r="F107" s="6"/>
      <c r="G107" s="6"/>
      <c r="H107" s="6"/>
    </row>
    <row r="108" spans="1:8" x14ac:dyDescent="0.25">
      <c r="A108" s="6"/>
      <c r="B108" s="6"/>
      <c r="C108" s="6"/>
      <c r="D108" s="6"/>
      <c r="E108" s="6"/>
      <c r="F108" s="6"/>
      <c r="G108" s="6"/>
      <c r="H108" s="6"/>
    </row>
  </sheetData>
  <mergeCells count="186">
    <mergeCell ref="G92:G93"/>
    <mergeCell ref="H92:H93"/>
    <mergeCell ref="A94:A95"/>
    <mergeCell ref="B94:B95"/>
    <mergeCell ref="C94:C95"/>
    <mergeCell ref="D94:D95"/>
    <mergeCell ref="G94:G95"/>
    <mergeCell ref="H94:H95"/>
    <mergeCell ref="A92:A93"/>
    <mergeCell ref="B92:B93"/>
    <mergeCell ref="C92:C93"/>
    <mergeCell ref="E92:E93"/>
    <mergeCell ref="F92:F93"/>
    <mergeCell ref="A90:A91"/>
    <mergeCell ref="B90:B91"/>
    <mergeCell ref="C90:C91"/>
    <mergeCell ref="G90:G91"/>
    <mergeCell ref="H90:H91"/>
    <mergeCell ref="C87:C89"/>
    <mergeCell ref="D87:D89"/>
    <mergeCell ref="F87:F89"/>
    <mergeCell ref="G87:G89"/>
    <mergeCell ref="H87:H89"/>
    <mergeCell ref="E88:E89"/>
    <mergeCell ref="A87:A89"/>
    <mergeCell ref="B87:B89"/>
    <mergeCell ref="A74:A75"/>
    <mergeCell ref="B74:B75"/>
    <mergeCell ref="C74:C75"/>
    <mergeCell ref="G74:G75"/>
    <mergeCell ref="H74:H75"/>
    <mergeCell ref="A79:A86"/>
    <mergeCell ref="B79:B86"/>
    <mergeCell ref="C79:C86"/>
    <mergeCell ref="D79:D86"/>
    <mergeCell ref="F79:F86"/>
    <mergeCell ref="G79:G86"/>
    <mergeCell ref="H79:H86"/>
    <mergeCell ref="A76:A78"/>
    <mergeCell ref="B76:B78"/>
    <mergeCell ref="C76:C78"/>
    <mergeCell ref="E76:E78"/>
    <mergeCell ref="F76:F78"/>
    <mergeCell ref="G76:G78"/>
    <mergeCell ref="H76:H78"/>
    <mergeCell ref="A69:A70"/>
    <mergeCell ref="B69:B70"/>
    <mergeCell ref="C69:C70"/>
    <mergeCell ref="E69:E70"/>
    <mergeCell ref="F69:F70"/>
    <mergeCell ref="G69:G70"/>
    <mergeCell ref="H69:H70"/>
    <mergeCell ref="A71:A73"/>
    <mergeCell ref="B71:B73"/>
    <mergeCell ref="C71:C73"/>
    <mergeCell ref="D71:D73"/>
    <mergeCell ref="G71:G73"/>
    <mergeCell ref="H71:H73"/>
    <mergeCell ref="G61:G62"/>
    <mergeCell ref="H61:H62"/>
    <mergeCell ref="A63:A64"/>
    <mergeCell ref="B63:B64"/>
    <mergeCell ref="C63:C64"/>
    <mergeCell ref="E63:E64"/>
    <mergeCell ref="F63:F64"/>
    <mergeCell ref="G63:G64"/>
    <mergeCell ref="H63:H64"/>
    <mergeCell ref="A61:A62"/>
    <mergeCell ref="B61:B62"/>
    <mergeCell ref="C61:C62"/>
    <mergeCell ref="E61:E62"/>
    <mergeCell ref="F61:F62"/>
    <mergeCell ref="A55:A56"/>
    <mergeCell ref="B55:B56"/>
    <mergeCell ref="C55:C56"/>
    <mergeCell ref="G55:G56"/>
    <mergeCell ref="H55:H56"/>
    <mergeCell ref="B48:B49"/>
    <mergeCell ref="C48:C49"/>
    <mergeCell ref="E48:E49"/>
    <mergeCell ref="F48:F49"/>
    <mergeCell ref="G48:G49"/>
    <mergeCell ref="H48:H49"/>
    <mergeCell ref="A48:A49"/>
    <mergeCell ref="G36:G37"/>
    <mergeCell ref="H36:H37"/>
    <mergeCell ref="A36:A37"/>
    <mergeCell ref="B36:B37"/>
    <mergeCell ref="C36:C37"/>
    <mergeCell ref="E36:E37"/>
    <mergeCell ref="F36:F37"/>
    <mergeCell ref="A46:A47"/>
    <mergeCell ref="B46:B47"/>
    <mergeCell ref="C46:C47"/>
    <mergeCell ref="G46:G47"/>
    <mergeCell ref="H46:H47"/>
    <mergeCell ref="B42:B43"/>
    <mergeCell ref="C42:C43"/>
    <mergeCell ref="G42:G43"/>
    <mergeCell ref="H42:H43"/>
    <mergeCell ref="A42:A43"/>
    <mergeCell ref="G44:G45"/>
    <mergeCell ref="A44:A45"/>
    <mergeCell ref="B44:B45"/>
    <mergeCell ref="C44:C45"/>
    <mergeCell ref="D44:D45"/>
    <mergeCell ref="H44:H45"/>
    <mergeCell ref="G32:G33"/>
    <mergeCell ref="H32:H33"/>
    <mergeCell ref="A34:A35"/>
    <mergeCell ref="B34:B35"/>
    <mergeCell ref="C34:C35"/>
    <mergeCell ref="E34:E35"/>
    <mergeCell ref="F34:F35"/>
    <mergeCell ref="G34:G35"/>
    <mergeCell ref="H34:H35"/>
    <mergeCell ref="A32:A33"/>
    <mergeCell ref="B32:B33"/>
    <mergeCell ref="C32:C33"/>
    <mergeCell ref="E32:E33"/>
    <mergeCell ref="F32:F33"/>
    <mergeCell ref="G28:G29"/>
    <mergeCell ref="H28:H29"/>
    <mergeCell ref="A30:A31"/>
    <mergeCell ref="B30:B31"/>
    <mergeCell ref="C30:C31"/>
    <mergeCell ref="E30:E31"/>
    <mergeCell ref="F30:F31"/>
    <mergeCell ref="G30:G31"/>
    <mergeCell ref="H30:H31"/>
    <mergeCell ref="A28:A29"/>
    <mergeCell ref="B28:B29"/>
    <mergeCell ref="C28:C29"/>
    <mergeCell ref="E28:E29"/>
    <mergeCell ref="F28:F29"/>
    <mergeCell ref="G24:G25"/>
    <mergeCell ref="H24:H25"/>
    <mergeCell ref="A26:A27"/>
    <mergeCell ref="B26:B27"/>
    <mergeCell ref="C26:C27"/>
    <mergeCell ref="E26:E27"/>
    <mergeCell ref="F26:F27"/>
    <mergeCell ref="G26:G27"/>
    <mergeCell ref="H26:H27"/>
    <mergeCell ref="A24:A25"/>
    <mergeCell ref="B24:B25"/>
    <mergeCell ref="C24:C25"/>
    <mergeCell ref="E24:E25"/>
    <mergeCell ref="F24:F25"/>
    <mergeCell ref="H19:H20"/>
    <mergeCell ref="A22:A23"/>
    <mergeCell ref="B22:B23"/>
    <mergeCell ref="C22:C23"/>
    <mergeCell ref="E22:E23"/>
    <mergeCell ref="F22:F23"/>
    <mergeCell ref="G22:G23"/>
    <mergeCell ref="H22:H23"/>
    <mergeCell ref="A19:A20"/>
    <mergeCell ref="B19:B20"/>
    <mergeCell ref="C19:C20"/>
    <mergeCell ref="E19:E20"/>
    <mergeCell ref="F19:F20"/>
    <mergeCell ref="A100:H100"/>
    <mergeCell ref="C1:F1"/>
    <mergeCell ref="C2:F2"/>
    <mergeCell ref="C3:F3"/>
    <mergeCell ref="A5:H5"/>
    <mergeCell ref="G1:H1"/>
    <mergeCell ref="G2:H2"/>
    <mergeCell ref="G3:H3"/>
    <mergeCell ref="A99:H99"/>
    <mergeCell ref="A12:A13"/>
    <mergeCell ref="B12:B13"/>
    <mergeCell ref="C12:C13"/>
    <mergeCell ref="E12:E13"/>
    <mergeCell ref="F12:F13"/>
    <mergeCell ref="G12:G13"/>
    <mergeCell ref="H12:H13"/>
    <mergeCell ref="A14:A15"/>
    <mergeCell ref="B14:B15"/>
    <mergeCell ref="C14:C15"/>
    <mergeCell ref="E14:E15"/>
    <mergeCell ref="F14:F15"/>
    <mergeCell ref="G14:G15"/>
    <mergeCell ref="H14:H15"/>
    <mergeCell ref="G19:G20"/>
  </mergeCells>
  <pageMargins left="0.7" right="0.7" top="0.75" bottom="0.75" header="0.3" footer="0.3"/>
  <pageSetup scale="8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abSelected="1" zoomScaleNormal="100" workbookViewId="0">
      <selection activeCell="F18" sqref="F18"/>
    </sheetView>
  </sheetViews>
  <sheetFormatPr defaultRowHeight="15" x14ac:dyDescent="0.25"/>
  <cols>
    <col min="1" max="1" width="22.28515625" customWidth="1"/>
    <col min="2" max="2" width="19.28515625" customWidth="1"/>
    <col min="3" max="3" width="12.140625" customWidth="1"/>
    <col min="4" max="4" width="13.42578125" customWidth="1"/>
    <col min="5" max="5" width="13.7109375" customWidth="1"/>
    <col min="6" max="6" width="13.28515625" customWidth="1"/>
    <col min="7" max="7" width="12.7109375" customWidth="1"/>
    <col min="8" max="8" width="14.42578125" customWidth="1"/>
    <col min="9" max="9" width="15.7109375" customWidth="1"/>
    <col min="10" max="10" width="19.85546875" customWidth="1"/>
  </cols>
  <sheetData>
    <row r="1" spans="1:10" ht="15.75" x14ac:dyDescent="0.25">
      <c r="H1" s="284" t="s">
        <v>52</v>
      </c>
      <c r="I1" s="284"/>
      <c r="J1" s="284"/>
    </row>
    <row r="2" spans="1:10" ht="15.75" x14ac:dyDescent="0.25">
      <c r="H2" s="285" t="s">
        <v>0</v>
      </c>
      <c r="I2" s="285"/>
      <c r="J2" s="285"/>
    </row>
    <row r="3" spans="1:10" ht="15.75" x14ac:dyDescent="0.25">
      <c r="H3" s="285" t="s">
        <v>16</v>
      </c>
      <c r="I3" s="285"/>
      <c r="J3" s="285"/>
    </row>
    <row r="5" spans="1:10" ht="15.75" x14ac:dyDescent="0.25">
      <c r="A5" s="288" t="s">
        <v>35</v>
      </c>
      <c r="B5" s="288"/>
      <c r="C5" s="288"/>
      <c r="D5" s="288"/>
      <c r="E5" s="288"/>
      <c r="F5" s="288"/>
      <c r="G5" s="288"/>
      <c r="H5" s="288"/>
      <c r="I5" s="288"/>
      <c r="J5" s="288"/>
    </row>
    <row r="6" spans="1:10" ht="15.75" x14ac:dyDescent="0.25">
      <c r="A6" s="12"/>
      <c r="B6" s="6"/>
      <c r="C6" s="6"/>
      <c r="D6" s="6"/>
      <c r="E6" s="6"/>
      <c r="F6" s="6"/>
      <c r="G6" s="6"/>
      <c r="H6" s="6"/>
      <c r="I6" s="6"/>
      <c r="J6" s="6"/>
    </row>
    <row r="7" spans="1:10" x14ac:dyDescent="0.25">
      <c r="A7" s="29" t="s">
        <v>853</v>
      </c>
      <c r="B7" s="77"/>
      <c r="C7" s="77"/>
      <c r="D7" s="77"/>
      <c r="E7" s="77"/>
      <c r="F7" s="77"/>
      <c r="G7" s="77"/>
      <c r="H7" s="77"/>
      <c r="I7" s="77"/>
      <c r="J7" s="65"/>
    </row>
    <row r="8" spans="1:10" x14ac:dyDescent="0.25">
      <c r="A8" s="302" t="s">
        <v>36</v>
      </c>
      <c r="B8" s="302" t="s">
        <v>37</v>
      </c>
      <c r="C8" s="302" t="s">
        <v>38</v>
      </c>
      <c r="D8" s="302"/>
      <c r="E8" s="302"/>
      <c r="F8" s="302"/>
      <c r="G8" s="302"/>
      <c r="H8" s="302"/>
      <c r="I8" s="302"/>
      <c r="J8" s="302" t="s">
        <v>39</v>
      </c>
    </row>
    <row r="9" spans="1:10" ht="28.5" x14ac:dyDescent="0.25">
      <c r="A9" s="302"/>
      <c r="B9" s="291"/>
      <c r="C9" s="36" t="s">
        <v>40</v>
      </c>
      <c r="D9" s="36" t="s">
        <v>41</v>
      </c>
      <c r="E9" s="36" t="s">
        <v>42</v>
      </c>
      <c r="F9" s="36" t="s">
        <v>43</v>
      </c>
      <c r="G9" s="36" t="s">
        <v>44</v>
      </c>
      <c r="H9" s="36" t="s">
        <v>45</v>
      </c>
      <c r="I9" s="36" t="s">
        <v>46</v>
      </c>
      <c r="J9" s="291"/>
    </row>
    <row r="10" spans="1:10" ht="30" x14ac:dyDescent="0.25">
      <c r="A10" s="78" t="s">
        <v>47</v>
      </c>
      <c r="B10" s="33" t="s">
        <v>811</v>
      </c>
      <c r="C10" s="33" t="s">
        <v>812</v>
      </c>
      <c r="D10" s="33"/>
      <c r="E10" s="33"/>
      <c r="F10" s="33"/>
      <c r="G10" s="33"/>
      <c r="H10" s="33"/>
      <c r="I10" s="33" t="s">
        <v>812</v>
      </c>
      <c r="J10" s="33" t="s">
        <v>813</v>
      </c>
    </row>
    <row r="11" spans="1:10" ht="30" x14ac:dyDescent="0.25">
      <c r="A11" s="78" t="s">
        <v>48</v>
      </c>
      <c r="B11" s="33" t="s">
        <v>814</v>
      </c>
      <c r="C11" s="33" t="s">
        <v>812</v>
      </c>
      <c r="D11" s="33"/>
      <c r="E11" s="33"/>
      <c r="F11" s="33"/>
      <c r="G11" s="33"/>
      <c r="H11" s="33"/>
      <c r="I11" s="33"/>
      <c r="J11" s="33" t="s">
        <v>813</v>
      </c>
    </row>
    <row r="12" spans="1:10" x14ac:dyDescent="0.25">
      <c r="A12" s="78" t="s">
        <v>49</v>
      </c>
      <c r="B12" s="33" t="s">
        <v>811</v>
      </c>
      <c r="C12" s="33" t="s">
        <v>812</v>
      </c>
      <c r="D12" s="33"/>
      <c r="E12" s="33"/>
      <c r="F12" s="33"/>
      <c r="G12" s="33"/>
      <c r="H12" s="33"/>
      <c r="I12" s="33"/>
      <c r="J12" s="33" t="s">
        <v>813</v>
      </c>
    </row>
    <row r="13" spans="1:10" x14ac:dyDescent="0.25">
      <c r="A13" s="78" t="s">
        <v>50</v>
      </c>
      <c r="B13" s="33" t="s">
        <v>811</v>
      </c>
      <c r="C13" s="33" t="s">
        <v>812</v>
      </c>
      <c r="D13" s="33"/>
      <c r="E13" s="33"/>
      <c r="F13" s="33"/>
      <c r="G13" s="33"/>
      <c r="H13" s="33"/>
      <c r="I13" s="33"/>
      <c r="J13" s="33" t="s">
        <v>813</v>
      </c>
    </row>
    <row r="14" spans="1:10" x14ac:dyDescent="0.25">
      <c r="A14" s="79" t="s">
        <v>46</v>
      </c>
      <c r="B14" s="80"/>
      <c r="C14" s="80"/>
      <c r="D14" s="80"/>
      <c r="E14" s="80"/>
      <c r="F14" s="80"/>
      <c r="G14" s="80"/>
      <c r="H14" s="80"/>
      <c r="I14" s="80"/>
      <c r="J14" s="80"/>
    </row>
    <row r="15" spans="1:10" x14ac:dyDescent="0.25">
      <c r="A15" s="62" t="s">
        <v>51</v>
      </c>
      <c r="B15" s="81"/>
      <c r="C15" s="82"/>
      <c r="D15" s="82"/>
      <c r="E15" s="82"/>
      <c r="F15" s="82"/>
      <c r="G15" s="82"/>
      <c r="H15" s="82"/>
      <c r="I15" s="82"/>
      <c r="J15" s="82"/>
    </row>
    <row r="16" spans="1:10" ht="15.75" x14ac:dyDescent="0.25">
      <c r="A16" s="7"/>
      <c r="B16" s="7"/>
      <c r="C16" s="9"/>
      <c r="D16" s="9"/>
      <c r="E16" s="9"/>
      <c r="F16" s="9"/>
      <c r="G16" s="9"/>
      <c r="H16" s="9"/>
      <c r="I16" s="9"/>
      <c r="J16" s="9"/>
    </row>
    <row r="17" spans="1:10" ht="15.75" x14ac:dyDescent="0.25">
      <c r="A17" s="7"/>
      <c r="B17" s="7"/>
      <c r="C17" s="9"/>
      <c r="D17" s="9"/>
      <c r="E17" s="9"/>
      <c r="F17" s="9"/>
      <c r="G17" s="9"/>
      <c r="H17" s="9"/>
      <c r="I17" s="9"/>
      <c r="J17" s="9"/>
    </row>
    <row r="18" spans="1:10" ht="15.75" x14ac:dyDescent="0.25">
      <c r="A18" s="7"/>
      <c r="B18" s="7"/>
      <c r="C18" s="9"/>
      <c r="D18" s="9"/>
      <c r="E18" s="9"/>
      <c r="F18" s="9"/>
      <c r="G18" s="9"/>
      <c r="H18" s="9"/>
      <c r="I18" s="9"/>
      <c r="J18" s="9"/>
    </row>
    <row r="19" spans="1:10" ht="15.75" x14ac:dyDescent="0.25">
      <c r="A19" s="7"/>
      <c r="B19" s="7"/>
      <c r="C19" s="9"/>
      <c r="D19" s="9"/>
      <c r="E19" s="9"/>
      <c r="F19" s="9"/>
      <c r="G19" s="9"/>
      <c r="H19" s="9"/>
      <c r="I19" s="9"/>
      <c r="J19" s="9"/>
    </row>
    <row r="20" spans="1:10" ht="15.75" x14ac:dyDescent="0.25">
      <c r="A20" s="7"/>
      <c r="B20" s="7"/>
      <c r="C20" s="9"/>
      <c r="D20" s="9"/>
      <c r="E20" s="9"/>
      <c r="F20" s="9"/>
      <c r="G20" s="9"/>
      <c r="H20" s="9"/>
      <c r="I20" s="9"/>
      <c r="J20" s="9"/>
    </row>
    <row r="21" spans="1:10" ht="15.75" x14ac:dyDescent="0.25">
      <c r="A21" s="7"/>
      <c r="B21" s="7"/>
      <c r="C21" s="9"/>
      <c r="D21" s="9"/>
      <c r="E21" s="9"/>
      <c r="F21" s="9"/>
      <c r="G21" s="9"/>
      <c r="H21" s="9"/>
      <c r="I21" s="9"/>
      <c r="J21" s="9"/>
    </row>
    <row r="22" spans="1:10" ht="15.75" x14ac:dyDescent="0.25">
      <c r="A22" s="7"/>
      <c r="B22" s="7"/>
      <c r="C22" s="9"/>
      <c r="D22" s="9"/>
      <c r="E22" s="9"/>
      <c r="F22" s="9"/>
      <c r="G22" s="9"/>
      <c r="H22" s="9"/>
      <c r="I22" s="9"/>
      <c r="J22" s="9"/>
    </row>
    <row r="23" spans="1:10" ht="15.75" x14ac:dyDescent="0.25">
      <c r="A23" s="7"/>
      <c r="B23" s="7"/>
      <c r="C23" s="9"/>
      <c r="D23" s="9"/>
      <c r="E23" s="9"/>
      <c r="F23" s="9"/>
      <c r="G23" s="9"/>
      <c r="H23" s="9"/>
      <c r="I23" s="9"/>
      <c r="J23" s="9"/>
    </row>
  </sheetData>
  <mergeCells count="8">
    <mergeCell ref="H1:J1"/>
    <mergeCell ref="H2:J2"/>
    <mergeCell ref="H3:J3"/>
    <mergeCell ref="A8:A9"/>
    <mergeCell ref="B8:B9"/>
    <mergeCell ref="C8:I8"/>
    <mergeCell ref="J8:J9"/>
    <mergeCell ref="A5:J5"/>
  </mergeCells>
  <pageMargins left="0.7" right="0.7" top="0.75" bottom="0.75" header="0.3" footer="0.3"/>
  <pageSetup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1-2 lentelė</vt:lpstr>
      <vt:lpstr> 3 lentelė</vt:lpstr>
      <vt:lpstr>4-5 lentelės</vt:lpstr>
      <vt:lpstr>4 lentelės patikrinimas</vt:lpstr>
      <vt:lpstr>4 lentelės skaičiavimai</vt:lpstr>
      <vt:lpstr> 6 lentelė</vt:lpstr>
      <vt:lpstr>Lapas8</vt:lpstr>
      <vt:lpstr>7 lentelė</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Daiva Kiminaitė</cp:lastModifiedBy>
  <cp:lastPrinted>2018-04-24T12:58:49Z</cp:lastPrinted>
  <dcterms:created xsi:type="dcterms:W3CDTF">2017-11-23T09:10:18Z</dcterms:created>
  <dcterms:modified xsi:type="dcterms:W3CDTF">2018-08-31T07:24:22Z</dcterms:modified>
</cp:coreProperties>
</file>