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239\Desktop\Failai įkėlimui\Kaunas\Kauno paskutiniai 2018-02-28\"/>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1" hidden="1">'2 lentele'!$A$6:$U$482</definedName>
    <definedName name="_xlnm._FilterDatabase" localSheetId="2" hidden="1">'3 lentele'!$A$8:$V$483</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K75" i="11" l="1"/>
  <c r="J75" i="11"/>
  <c r="E29" i="9"/>
  <c r="G39" i="8"/>
  <c r="G39" i="7"/>
  <c r="C57" i="6"/>
  <c r="L209" i="3"/>
  <c r="M209" i="3"/>
  <c r="N209" i="3"/>
  <c r="O209" i="3"/>
  <c r="P209" i="3"/>
  <c r="Q209" i="3"/>
  <c r="K209" i="3"/>
  <c r="P434" i="3" l="1"/>
  <c r="N434" i="3"/>
  <c r="P433" i="3"/>
  <c r="L433" i="3"/>
  <c r="N433" i="3"/>
  <c r="P432" i="3"/>
  <c r="N432" i="3"/>
  <c r="L432" i="3"/>
  <c r="P430" i="3"/>
  <c r="N430" i="3"/>
  <c r="P428" i="3"/>
  <c r="N428" i="3"/>
  <c r="P415" i="3"/>
  <c r="L415" i="3"/>
  <c r="P411" i="3"/>
  <c r="L411" i="3"/>
  <c r="K228" i="3" l="1"/>
  <c r="K67" i="3" l="1"/>
  <c r="L37" i="3" l="1"/>
  <c r="M37" i="3"/>
  <c r="N37" i="3"/>
  <c r="O37" i="3"/>
  <c r="P37" i="3"/>
  <c r="K155" i="11" l="1"/>
  <c r="O152" i="11"/>
  <c r="M152" i="11"/>
  <c r="K152" i="11"/>
  <c r="M149" i="11"/>
  <c r="K149" i="11"/>
  <c r="I149" i="11"/>
  <c r="K144" i="11"/>
  <c r="M143" i="11"/>
  <c r="K143" i="11"/>
  <c r="M139" i="11"/>
  <c r="K139" i="11"/>
  <c r="I139" i="11"/>
  <c r="K138" i="11"/>
  <c r="I138" i="11"/>
  <c r="I133" i="11"/>
  <c r="K131" i="11"/>
  <c r="M121" i="11"/>
  <c r="K121" i="11"/>
  <c r="M114" i="11"/>
  <c r="M111" i="11"/>
  <c r="K111" i="11"/>
  <c r="K110" i="11"/>
  <c r="K107" i="11"/>
  <c r="I107" i="11"/>
  <c r="M104" i="11"/>
  <c r="K104" i="11"/>
  <c r="M102" i="11"/>
  <c r="K102" i="11"/>
  <c r="I102" i="11"/>
  <c r="M97" i="11"/>
  <c r="I92" i="11"/>
  <c r="I90" i="11"/>
  <c r="K88" i="11"/>
  <c r="K87" i="11"/>
  <c r="M85" i="11"/>
  <c r="K85" i="11"/>
  <c r="K84" i="11"/>
  <c r="M75" i="11"/>
  <c r="O70" i="11"/>
  <c r="M70" i="11"/>
  <c r="M68" i="11"/>
  <c r="K68" i="11"/>
  <c r="I68" i="11"/>
  <c r="K63" i="11"/>
  <c r="M60" i="11"/>
  <c r="M58" i="11"/>
  <c r="K58" i="11"/>
  <c r="M57" i="11"/>
  <c r="K57" i="11"/>
  <c r="M44" i="11"/>
  <c r="K44" i="11"/>
  <c r="M41" i="11"/>
  <c r="M38" i="11"/>
  <c r="K38" i="11"/>
  <c r="I38" i="11"/>
  <c r="O35" i="11"/>
  <c r="M35" i="11"/>
  <c r="O34" i="11"/>
  <c r="M34" i="11"/>
  <c r="K34" i="11"/>
  <c r="M33" i="11"/>
  <c r="K33" i="11"/>
  <c r="I33" i="11"/>
  <c r="O32" i="11"/>
  <c r="M32" i="11"/>
  <c r="K32" i="11"/>
  <c r="I32" i="11"/>
  <c r="M27" i="11"/>
  <c r="K27" i="11"/>
  <c r="I27" i="11"/>
  <c r="M24" i="11"/>
  <c r="K24" i="11"/>
  <c r="M17" i="11"/>
  <c r="K17" i="11"/>
  <c r="K58" i="3" l="1"/>
  <c r="C24" i="6"/>
  <c r="L281" i="3"/>
  <c r="M281" i="3"/>
  <c r="N281" i="3"/>
  <c r="O281" i="3"/>
  <c r="P281" i="3"/>
  <c r="Q281" i="3"/>
  <c r="K283" i="3"/>
  <c r="K289" i="3"/>
  <c r="K288" i="3"/>
  <c r="K287" i="3"/>
  <c r="K286" i="3"/>
  <c r="K285" i="3"/>
  <c r="K284" i="3"/>
  <c r="L104" i="11" l="1"/>
  <c r="H35" i="8"/>
  <c r="H35" i="7"/>
  <c r="K35" i="7" s="1"/>
  <c r="D12" i="11"/>
  <c r="D16" i="11"/>
  <c r="D11" i="11"/>
  <c r="D31" i="11"/>
  <c r="D30" i="11"/>
  <c r="D37" i="11"/>
  <c r="D42" i="11"/>
  <c r="E12" i="11"/>
  <c r="E16" i="11"/>
  <c r="E23" i="11"/>
  <c r="E26" i="11"/>
  <c r="E22" i="11"/>
  <c r="E31" i="11"/>
  <c r="E30" i="11"/>
  <c r="E37" i="11"/>
  <c r="E42" i="11"/>
  <c r="F12" i="11"/>
  <c r="F16" i="11"/>
  <c r="F23" i="11"/>
  <c r="F26" i="11"/>
  <c r="F22" i="11" s="1"/>
  <c r="F31" i="11"/>
  <c r="F30" i="11"/>
  <c r="F37" i="11"/>
  <c r="F42" i="11"/>
  <c r="G12" i="11"/>
  <c r="G16" i="11"/>
  <c r="G23" i="11"/>
  <c r="G26" i="11"/>
  <c r="G22" i="11"/>
  <c r="G31" i="11"/>
  <c r="G30" i="11"/>
  <c r="G37" i="11"/>
  <c r="G42" i="11"/>
  <c r="H12" i="11"/>
  <c r="H16" i="11"/>
  <c r="H23" i="11"/>
  <c r="H42" i="11"/>
  <c r="I12" i="11"/>
  <c r="I16" i="11"/>
  <c r="I23" i="11"/>
  <c r="I26" i="11"/>
  <c r="I37" i="11"/>
  <c r="I42" i="11"/>
  <c r="J12" i="11"/>
  <c r="K12" i="11"/>
  <c r="K16" i="11"/>
  <c r="S24" i="11"/>
  <c r="K26" i="11"/>
  <c r="K31" i="11"/>
  <c r="K30" i="11" s="1"/>
  <c r="K37" i="11"/>
  <c r="K42" i="11"/>
  <c r="L12" i="11"/>
  <c r="M12" i="11"/>
  <c r="M16" i="11"/>
  <c r="M11" i="11" s="1"/>
  <c r="M23" i="11"/>
  <c r="S27" i="11"/>
  <c r="S34" i="11"/>
  <c r="M42" i="11"/>
  <c r="N12" i="11"/>
  <c r="N16" i="11"/>
  <c r="N23" i="11"/>
  <c r="N26" i="11"/>
  <c r="N22" i="11"/>
  <c r="N37" i="11"/>
  <c r="N42" i="11"/>
  <c r="N36" i="11" s="1"/>
  <c r="O12" i="11"/>
  <c r="O16" i="11"/>
  <c r="O11" i="11"/>
  <c r="O23" i="11"/>
  <c r="O26" i="11"/>
  <c r="O22" i="11"/>
  <c r="O31" i="11"/>
  <c r="O30" i="11" s="1"/>
  <c r="O37" i="11"/>
  <c r="O42" i="11"/>
  <c r="O36" i="11"/>
  <c r="P12" i="11"/>
  <c r="P16" i="11"/>
  <c r="P11" i="11"/>
  <c r="P23" i="11"/>
  <c r="P22" i="11" s="1"/>
  <c r="P10" i="11" s="1"/>
  <c r="P26" i="11"/>
  <c r="P31" i="11"/>
  <c r="P30" i="11"/>
  <c r="P37" i="11"/>
  <c r="P42" i="11"/>
  <c r="P36" i="11"/>
  <c r="Q12" i="11"/>
  <c r="Q16" i="11"/>
  <c r="Q11" i="11"/>
  <c r="Q23" i="11"/>
  <c r="Q22" i="11" s="1"/>
  <c r="Q10" i="11" s="1"/>
  <c r="Q26" i="11"/>
  <c r="Q31" i="11"/>
  <c r="Q30" i="11"/>
  <c r="Q37" i="11"/>
  <c r="Q42" i="11"/>
  <c r="Q36" i="11"/>
  <c r="R13" i="11"/>
  <c r="S13" i="11"/>
  <c r="R14" i="11"/>
  <c r="S14" i="11"/>
  <c r="R15" i="11"/>
  <c r="S15" i="11"/>
  <c r="S17" i="11"/>
  <c r="R18" i="11"/>
  <c r="S18" i="11"/>
  <c r="R19" i="11"/>
  <c r="S19" i="11"/>
  <c r="R20" i="11"/>
  <c r="S20" i="11"/>
  <c r="R21" i="11"/>
  <c r="S21" i="11"/>
  <c r="R25" i="11"/>
  <c r="S25" i="11"/>
  <c r="R28" i="11"/>
  <c r="S28" i="11"/>
  <c r="R29" i="11"/>
  <c r="S29" i="11"/>
  <c r="S35" i="11"/>
  <c r="R39" i="11"/>
  <c r="S39" i="11"/>
  <c r="R40" i="11"/>
  <c r="S40" i="11"/>
  <c r="S41" i="11"/>
  <c r="R43" i="11"/>
  <c r="S43" i="11"/>
  <c r="R45" i="11"/>
  <c r="S45" i="11"/>
  <c r="R46" i="11"/>
  <c r="S46" i="11"/>
  <c r="D49" i="11"/>
  <c r="D52" i="11"/>
  <c r="D56" i="11"/>
  <c r="D66" i="11"/>
  <c r="D69" i="11"/>
  <c r="D74" i="11"/>
  <c r="D78" i="11"/>
  <c r="D89" i="11"/>
  <c r="D94" i="11"/>
  <c r="D101" i="11"/>
  <c r="D93" i="11"/>
  <c r="D106" i="11"/>
  <c r="D113" i="11"/>
  <c r="D105" i="11"/>
  <c r="D119" i="11"/>
  <c r="D124" i="11"/>
  <c r="E49" i="11"/>
  <c r="E48" i="11" s="1"/>
  <c r="E52" i="11"/>
  <c r="E56" i="11"/>
  <c r="E66" i="11"/>
  <c r="E69" i="11"/>
  <c r="E74" i="11"/>
  <c r="E55" i="11"/>
  <c r="E78" i="11"/>
  <c r="E77" i="11" s="1"/>
  <c r="E89" i="11"/>
  <c r="E94" i="11"/>
  <c r="E101" i="11"/>
  <c r="E106" i="11"/>
  <c r="E113" i="11"/>
  <c r="E105" i="11"/>
  <c r="E119" i="11"/>
  <c r="E124" i="11"/>
  <c r="E118" i="11"/>
  <c r="F49" i="11"/>
  <c r="F52" i="11"/>
  <c r="F48" i="11"/>
  <c r="F56" i="11"/>
  <c r="F66" i="11"/>
  <c r="F69" i="11"/>
  <c r="F74" i="11"/>
  <c r="F55" i="11"/>
  <c r="F78" i="11"/>
  <c r="F89" i="11"/>
  <c r="F77" i="11"/>
  <c r="F94" i="11"/>
  <c r="F101" i="11"/>
  <c r="F106" i="11"/>
  <c r="F113" i="11"/>
  <c r="F119" i="11"/>
  <c r="F124" i="11"/>
  <c r="F118" i="11" s="1"/>
  <c r="G49" i="11"/>
  <c r="G52" i="11"/>
  <c r="G48" i="11"/>
  <c r="G56" i="11"/>
  <c r="G66" i="11"/>
  <c r="G69" i="11"/>
  <c r="G74" i="11"/>
  <c r="G78" i="11"/>
  <c r="G89" i="11"/>
  <c r="G77" i="11"/>
  <c r="G94" i="11"/>
  <c r="G101" i="11"/>
  <c r="G93" i="11"/>
  <c r="G106" i="11"/>
  <c r="G113" i="11"/>
  <c r="G119" i="11"/>
  <c r="G124" i="11"/>
  <c r="H49" i="11"/>
  <c r="H52" i="11"/>
  <c r="H56" i="11"/>
  <c r="H69" i="11"/>
  <c r="H74" i="11"/>
  <c r="H78" i="11"/>
  <c r="H94" i="11"/>
  <c r="H113" i="11"/>
  <c r="H119" i="11"/>
  <c r="H124" i="11"/>
  <c r="H118" i="11"/>
  <c r="I49" i="11"/>
  <c r="I52" i="11"/>
  <c r="I48" i="11"/>
  <c r="I56" i="11"/>
  <c r="I66" i="11"/>
  <c r="I69" i="11"/>
  <c r="I74" i="11"/>
  <c r="I78" i="11"/>
  <c r="S92" i="11"/>
  <c r="I94" i="11"/>
  <c r="I101" i="11"/>
  <c r="I113" i="11"/>
  <c r="I119" i="11"/>
  <c r="I124" i="11"/>
  <c r="S124" i="11" s="1"/>
  <c r="J49" i="11"/>
  <c r="J48" i="11" s="1"/>
  <c r="J52" i="11"/>
  <c r="J69" i="11"/>
  <c r="J89" i="11"/>
  <c r="J94" i="11"/>
  <c r="J113" i="11"/>
  <c r="J124" i="11"/>
  <c r="K49" i="11"/>
  <c r="K52" i="11"/>
  <c r="S58" i="11"/>
  <c r="S63" i="11"/>
  <c r="K66" i="11"/>
  <c r="K69" i="11"/>
  <c r="K74" i="11"/>
  <c r="S84" i="11"/>
  <c r="K78" i="11"/>
  <c r="K89" i="11"/>
  <c r="K94" i="11"/>
  <c r="K101" i="11"/>
  <c r="K93" i="11" s="1"/>
  <c r="K106" i="11"/>
  <c r="K105" i="11" s="1"/>
  <c r="K113" i="11"/>
  <c r="K119" i="11"/>
  <c r="K124" i="11"/>
  <c r="L49" i="11"/>
  <c r="L52" i="11"/>
  <c r="L89" i="11"/>
  <c r="L124" i="11"/>
  <c r="M49" i="11"/>
  <c r="M48" i="11" s="1"/>
  <c r="M52" i="11"/>
  <c r="M66" i="11"/>
  <c r="M69" i="11"/>
  <c r="M74" i="11"/>
  <c r="M78" i="11"/>
  <c r="M89" i="11"/>
  <c r="M94" i="11"/>
  <c r="M106" i="11"/>
  <c r="M113" i="11"/>
  <c r="S113" i="11" s="1"/>
  <c r="M119" i="11"/>
  <c r="M118" i="11" s="1"/>
  <c r="M124" i="11"/>
  <c r="N49" i="11"/>
  <c r="N52" i="11"/>
  <c r="N48" i="11"/>
  <c r="N56" i="11"/>
  <c r="N66" i="11"/>
  <c r="N74" i="11"/>
  <c r="N78" i="11"/>
  <c r="N89" i="11"/>
  <c r="N77" i="11"/>
  <c r="N94" i="11"/>
  <c r="N101" i="11"/>
  <c r="N93" i="11"/>
  <c r="N106" i="11"/>
  <c r="N105" i="11" s="1"/>
  <c r="N113" i="11"/>
  <c r="N119" i="11"/>
  <c r="N118" i="11" s="1"/>
  <c r="N124" i="11"/>
  <c r="O49" i="11"/>
  <c r="O52" i="11"/>
  <c r="O56" i="11"/>
  <c r="O66" i="11"/>
  <c r="O69" i="11"/>
  <c r="O55" i="11" s="1"/>
  <c r="O74" i="11"/>
  <c r="O78" i="11"/>
  <c r="O89" i="11"/>
  <c r="O77" i="11"/>
  <c r="O94" i="11"/>
  <c r="O93" i="11" s="1"/>
  <c r="O101" i="11"/>
  <c r="O106" i="11"/>
  <c r="O113" i="11"/>
  <c r="O105" i="11"/>
  <c r="O119" i="11"/>
  <c r="O124" i="11"/>
  <c r="O118" i="11"/>
  <c r="P49" i="11"/>
  <c r="P52" i="11"/>
  <c r="P48" i="11"/>
  <c r="P56" i="11"/>
  <c r="P66" i="11"/>
  <c r="P69" i="11"/>
  <c r="P74" i="11"/>
  <c r="P55" i="11"/>
  <c r="P78" i="11"/>
  <c r="P89" i="11"/>
  <c r="P77" i="11"/>
  <c r="P94" i="11"/>
  <c r="P93" i="11" s="1"/>
  <c r="P101" i="11"/>
  <c r="P106" i="11"/>
  <c r="P113" i="11"/>
  <c r="P119" i="11"/>
  <c r="P124" i="11"/>
  <c r="P118" i="11"/>
  <c r="Q49" i="11"/>
  <c r="Q48" i="11" s="1"/>
  <c r="Q52" i="11"/>
  <c r="Q56" i="11"/>
  <c r="Q66" i="11"/>
  <c r="Q55" i="11" s="1"/>
  <c r="Q69" i="11"/>
  <c r="Q74" i="11"/>
  <c r="Q78" i="11"/>
  <c r="Q89" i="11"/>
  <c r="Q94" i="11"/>
  <c r="Q101" i="11"/>
  <c r="Q93" i="11" s="1"/>
  <c r="Q106" i="11"/>
  <c r="Q113" i="11"/>
  <c r="Q105" i="11"/>
  <c r="Q119" i="11"/>
  <c r="Q118" i="11" s="1"/>
  <c r="Q124" i="11"/>
  <c r="R50" i="11"/>
  <c r="S50" i="11"/>
  <c r="R51" i="11"/>
  <c r="S51" i="11"/>
  <c r="S52" i="11"/>
  <c r="R53" i="11"/>
  <c r="S53" i="11"/>
  <c r="R54" i="11"/>
  <c r="S54" i="11"/>
  <c r="S57" i="11"/>
  <c r="R59" i="11"/>
  <c r="S59" i="11"/>
  <c r="S60" i="11"/>
  <c r="R61" i="11"/>
  <c r="S61" i="11"/>
  <c r="R62" i="11"/>
  <c r="S62" i="11"/>
  <c r="R64" i="11"/>
  <c r="S64" i="11"/>
  <c r="R65" i="11"/>
  <c r="S65" i="11"/>
  <c r="R67" i="11"/>
  <c r="S67" i="11"/>
  <c r="S68" i="11"/>
  <c r="S70" i="11"/>
  <c r="R71" i="11"/>
  <c r="S71" i="11"/>
  <c r="R72" i="11"/>
  <c r="S72" i="11"/>
  <c r="R73" i="11"/>
  <c r="S73" i="11"/>
  <c r="S75" i="11"/>
  <c r="R76" i="11"/>
  <c r="S76" i="11"/>
  <c r="R79" i="11"/>
  <c r="S79" i="11"/>
  <c r="R80" i="11"/>
  <c r="S80" i="11"/>
  <c r="R81" i="11"/>
  <c r="S81" i="11"/>
  <c r="R82" i="11"/>
  <c r="S82" i="11"/>
  <c r="R83" i="11"/>
  <c r="S83" i="11"/>
  <c r="S85" i="11"/>
  <c r="R86" i="11"/>
  <c r="S86" i="11"/>
  <c r="S87" i="11"/>
  <c r="S88" i="11"/>
  <c r="R91" i="11"/>
  <c r="S91" i="11"/>
  <c r="R95" i="11"/>
  <c r="S95" i="11"/>
  <c r="R96" i="11"/>
  <c r="S96" i="11"/>
  <c r="S97" i="11"/>
  <c r="R98" i="11"/>
  <c r="S98" i="11"/>
  <c r="R99" i="11"/>
  <c r="S99" i="11"/>
  <c r="R100" i="11"/>
  <c r="S100" i="11"/>
  <c r="R103" i="11"/>
  <c r="S103" i="11"/>
  <c r="S104" i="11"/>
  <c r="R108" i="11"/>
  <c r="S108" i="11"/>
  <c r="R109" i="11"/>
  <c r="S109" i="11"/>
  <c r="S110" i="11"/>
  <c r="S111" i="11"/>
  <c r="R112" i="11"/>
  <c r="S112" i="11"/>
  <c r="S114" i="11"/>
  <c r="R115" i="11"/>
  <c r="S115" i="11"/>
  <c r="R116" i="11"/>
  <c r="S116" i="11"/>
  <c r="R117" i="11"/>
  <c r="S117" i="11"/>
  <c r="R120" i="11"/>
  <c r="S120" i="11"/>
  <c r="S121" i="11"/>
  <c r="R122" i="11"/>
  <c r="S122" i="11"/>
  <c r="R123" i="11"/>
  <c r="S123" i="11"/>
  <c r="R124" i="11"/>
  <c r="R125" i="11"/>
  <c r="S125" i="11"/>
  <c r="R126" i="11"/>
  <c r="S126" i="11"/>
  <c r="R127" i="11"/>
  <c r="S127" i="11"/>
  <c r="D130" i="11"/>
  <c r="D137" i="11"/>
  <c r="D141" i="11"/>
  <c r="D147" i="11"/>
  <c r="D129" i="11"/>
  <c r="D154" i="11"/>
  <c r="D159" i="11"/>
  <c r="D153" i="11"/>
  <c r="D128" i="11"/>
  <c r="E130" i="11"/>
  <c r="E137" i="11"/>
  <c r="E129" i="11" s="1"/>
  <c r="E141" i="11"/>
  <c r="E147" i="11"/>
  <c r="E154" i="11"/>
  <c r="E159" i="11"/>
  <c r="F130" i="11"/>
  <c r="F137" i="11"/>
  <c r="F141" i="11"/>
  <c r="F147" i="11"/>
  <c r="F154" i="11"/>
  <c r="F153" i="11" s="1"/>
  <c r="F159" i="11"/>
  <c r="G130" i="11"/>
  <c r="G137" i="11"/>
  <c r="G141" i="11"/>
  <c r="G147" i="11"/>
  <c r="G129" i="11"/>
  <c r="G154" i="11"/>
  <c r="G159" i="11"/>
  <c r="H141" i="11"/>
  <c r="H154" i="11"/>
  <c r="H159" i="11"/>
  <c r="H153" i="11"/>
  <c r="I130" i="11"/>
  <c r="I141" i="11"/>
  <c r="I147" i="11"/>
  <c r="I154" i="11"/>
  <c r="I159" i="11"/>
  <c r="I153" i="11" s="1"/>
  <c r="J159" i="11"/>
  <c r="S131" i="11"/>
  <c r="K137" i="11"/>
  <c r="K141" i="11"/>
  <c r="K154" i="11"/>
  <c r="K153" i="11" s="1"/>
  <c r="K159" i="11"/>
  <c r="L130" i="11"/>
  <c r="L154" i="11"/>
  <c r="L159" i="11"/>
  <c r="L153" i="11"/>
  <c r="M130" i="11"/>
  <c r="M137" i="11"/>
  <c r="M141" i="11"/>
  <c r="M147" i="11"/>
  <c r="M154" i="11"/>
  <c r="M159" i="11"/>
  <c r="M153" i="11" s="1"/>
  <c r="N130" i="11"/>
  <c r="N137" i="11"/>
  <c r="N141" i="11"/>
  <c r="N154" i="11"/>
  <c r="N153" i="11" s="1"/>
  <c r="N159" i="11"/>
  <c r="O130" i="11"/>
  <c r="O137" i="11"/>
  <c r="O141" i="11"/>
  <c r="O147" i="11"/>
  <c r="O154" i="11"/>
  <c r="O159" i="11"/>
  <c r="O153" i="11"/>
  <c r="P130" i="11"/>
  <c r="P137" i="11"/>
  <c r="P129" i="11" s="1"/>
  <c r="P141" i="11"/>
  <c r="P147" i="11"/>
  <c r="P154" i="11"/>
  <c r="P159" i="11"/>
  <c r="Q130" i="11"/>
  <c r="Q137" i="11"/>
  <c r="Q129" i="11" s="1"/>
  <c r="Q128" i="11" s="1"/>
  <c r="Q141" i="11"/>
  <c r="Q147" i="11"/>
  <c r="Q154" i="11"/>
  <c r="Q153" i="11" s="1"/>
  <c r="Q159" i="11"/>
  <c r="R132" i="11"/>
  <c r="S132" i="11"/>
  <c r="S133" i="11"/>
  <c r="R134" i="11"/>
  <c r="S134" i="11"/>
  <c r="R135" i="11"/>
  <c r="S135" i="11"/>
  <c r="R136" i="11"/>
  <c r="S136" i="11"/>
  <c r="S139" i="11"/>
  <c r="R140" i="11"/>
  <c r="S140" i="11"/>
  <c r="R142" i="11"/>
  <c r="S142" i="11"/>
  <c r="S143" i="11"/>
  <c r="S144" i="11"/>
  <c r="R145" i="11"/>
  <c r="S145" i="11"/>
  <c r="R146" i="11"/>
  <c r="S146" i="11"/>
  <c r="R148" i="11"/>
  <c r="S148" i="11"/>
  <c r="S149" i="11"/>
  <c r="R150" i="11"/>
  <c r="S150" i="11"/>
  <c r="R151" i="11"/>
  <c r="S151" i="11"/>
  <c r="S155" i="11"/>
  <c r="R156" i="11"/>
  <c r="S156" i="11"/>
  <c r="R157" i="11"/>
  <c r="S157" i="11"/>
  <c r="R158" i="11"/>
  <c r="S158" i="11"/>
  <c r="R160" i="11"/>
  <c r="S160" i="11"/>
  <c r="R161" i="11"/>
  <c r="S161" i="11"/>
  <c r="C10" i="6"/>
  <c r="C11" i="6"/>
  <c r="C40" i="6"/>
  <c r="C52" i="6"/>
  <c r="K38" i="3"/>
  <c r="K40" i="3"/>
  <c r="F27" i="8" s="1"/>
  <c r="K48" i="3"/>
  <c r="K52" i="3"/>
  <c r="K309" i="3"/>
  <c r="K310" i="3"/>
  <c r="K57" i="3"/>
  <c r="K26" i="3"/>
  <c r="K44" i="3"/>
  <c r="K46" i="3"/>
  <c r="K49" i="3"/>
  <c r="K50" i="3"/>
  <c r="K54" i="3"/>
  <c r="K55" i="3"/>
  <c r="K56" i="3"/>
  <c r="D27" i="11" s="1"/>
  <c r="K305" i="3"/>
  <c r="K307" i="3"/>
  <c r="K311" i="3"/>
  <c r="K312" i="3"/>
  <c r="I34" i="7" s="1"/>
  <c r="K327" i="3"/>
  <c r="K329" i="3"/>
  <c r="K335" i="3"/>
  <c r="K336" i="3"/>
  <c r="K338" i="3"/>
  <c r="K339" i="3"/>
  <c r="K340" i="3"/>
  <c r="K341" i="3"/>
  <c r="K342" i="3"/>
  <c r="K343" i="3"/>
  <c r="K344" i="3"/>
  <c r="K345" i="3"/>
  <c r="K350" i="3"/>
  <c r="K354" i="3"/>
  <c r="K355" i="3"/>
  <c r="K356" i="3"/>
  <c r="K357" i="3"/>
  <c r="K358" i="3"/>
  <c r="K359" i="3"/>
  <c r="K360" i="3"/>
  <c r="K361" i="3"/>
  <c r="K362" i="3"/>
  <c r="K363" i="3"/>
  <c r="K364" i="3"/>
  <c r="K468" i="3"/>
  <c r="K28" i="3"/>
  <c r="K306" i="3"/>
  <c r="K317" i="3"/>
  <c r="K331" i="3"/>
  <c r="K334" i="3"/>
  <c r="K351" i="3"/>
  <c r="K41" i="3"/>
  <c r="K53" i="3"/>
  <c r="K43" i="3"/>
  <c r="K42" i="3"/>
  <c r="K31" i="3"/>
  <c r="K47" i="3"/>
  <c r="K39" i="3"/>
  <c r="K45" i="3"/>
  <c r="K51" i="3"/>
  <c r="E57" i="9"/>
  <c r="E56" i="9"/>
  <c r="D57" i="9"/>
  <c r="D56" i="9"/>
  <c r="Q9" i="3"/>
  <c r="Q14" i="3"/>
  <c r="Q13" i="3" s="1"/>
  <c r="Q24" i="3"/>
  <c r="Q23" i="3" s="1"/>
  <c r="Q37" i="3"/>
  <c r="Q36" i="3" s="1"/>
  <c r="Q63" i="3"/>
  <c r="Q86" i="3"/>
  <c r="Q95" i="3"/>
  <c r="Q107" i="3"/>
  <c r="Q112" i="3"/>
  <c r="Q128" i="3"/>
  <c r="Q135" i="3"/>
  <c r="Q133" i="3" s="1"/>
  <c r="Q143" i="3"/>
  <c r="Q146" i="3"/>
  <c r="Q151" i="3"/>
  <c r="Q158" i="3"/>
  <c r="Q167" i="3"/>
  <c r="Q171" i="3"/>
  <c r="Q177" i="3"/>
  <c r="Q175" i="3" s="1"/>
  <c r="Q198" i="3"/>
  <c r="Q197" i="3" s="1"/>
  <c r="Q208" i="3"/>
  <c r="Q227" i="3"/>
  <c r="Q229" i="3"/>
  <c r="Q236" i="3"/>
  <c r="Q238" i="3"/>
  <c r="Q242" i="3"/>
  <c r="Q245" i="3"/>
  <c r="Q257" i="3"/>
  <c r="Q254" i="3" s="1"/>
  <c r="Q270" i="3"/>
  <c r="Q292" i="3"/>
  <c r="Q301" i="3"/>
  <c r="Q304" i="3"/>
  <c r="Q316" i="3"/>
  <c r="Q318" i="3"/>
  <c r="Q324" i="3"/>
  <c r="Q322" i="3" s="1"/>
  <c r="Q388" i="3"/>
  <c r="Q395" i="3"/>
  <c r="Q404" i="3"/>
  <c r="Q410" i="3"/>
  <c r="Q414" i="3"/>
  <c r="Q442" i="3"/>
  <c r="Q449" i="3"/>
  <c r="Q455" i="3"/>
  <c r="Q464" i="3"/>
  <c r="Q472" i="3"/>
  <c r="Q471" i="3" s="1"/>
  <c r="Q479" i="3"/>
  <c r="K137" i="3"/>
  <c r="L36" i="3"/>
  <c r="M36" i="3"/>
  <c r="N36" i="3"/>
  <c r="O36" i="3"/>
  <c r="P36" i="3"/>
  <c r="L177" i="3"/>
  <c r="L175" i="3" s="1"/>
  <c r="M177" i="3"/>
  <c r="M175" i="3" s="1"/>
  <c r="N177" i="3"/>
  <c r="N175" i="3" s="1"/>
  <c r="O177" i="3"/>
  <c r="O175" i="3" s="1"/>
  <c r="P177" i="3"/>
  <c r="P175" i="3" s="1"/>
  <c r="L158" i="3"/>
  <c r="M158" i="3"/>
  <c r="N158" i="3"/>
  <c r="O158" i="3"/>
  <c r="P158" i="3"/>
  <c r="C33" i="6"/>
  <c r="C9" i="6"/>
  <c r="C51" i="6"/>
  <c r="C49" i="6"/>
  <c r="C39" i="6"/>
  <c r="C65" i="6"/>
  <c r="K326" i="3"/>
  <c r="K328" i="3"/>
  <c r="F41" i="8" s="1"/>
  <c r="K330" i="3"/>
  <c r="K332" i="3"/>
  <c r="K333" i="3"/>
  <c r="K337" i="3"/>
  <c r="K346" i="3"/>
  <c r="K347" i="3"/>
  <c r="K348" i="3"/>
  <c r="K349" i="3"/>
  <c r="K352" i="3"/>
  <c r="K353" i="3"/>
  <c r="H41" i="7" s="1"/>
  <c r="K365" i="3"/>
  <c r="K366" i="3"/>
  <c r="K367" i="3"/>
  <c r="K368" i="3"/>
  <c r="K369" i="3"/>
  <c r="K370" i="3"/>
  <c r="K371" i="3"/>
  <c r="K372" i="3"/>
  <c r="K373" i="3"/>
  <c r="K374" i="3"/>
  <c r="K375" i="3"/>
  <c r="K376" i="3"/>
  <c r="K377" i="3"/>
  <c r="K378" i="3"/>
  <c r="K379" i="3"/>
  <c r="E46" i="9" s="1"/>
  <c r="K380" i="3"/>
  <c r="K381" i="3"/>
  <c r="K382" i="3"/>
  <c r="K383" i="3"/>
  <c r="K384" i="3"/>
  <c r="K385" i="3"/>
  <c r="K325" i="3"/>
  <c r="K272" i="3"/>
  <c r="K273" i="3"/>
  <c r="K275" i="3"/>
  <c r="K276" i="3"/>
  <c r="K277" i="3"/>
  <c r="K278" i="3"/>
  <c r="K279" i="3"/>
  <c r="K271" i="3"/>
  <c r="K248" i="3"/>
  <c r="K249" i="3"/>
  <c r="K250" i="3"/>
  <c r="K251" i="3"/>
  <c r="K252" i="3"/>
  <c r="K246" i="3"/>
  <c r="K243" i="3"/>
  <c r="K237" i="3"/>
  <c r="K231" i="3"/>
  <c r="K232" i="3"/>
  <c r="K233" i="3"/>
  <c r="K234" i="3"/>
  <c r="K230" i="3"/>
  <c r="K214" i="3"/>
  <c r="K215" i="3"/>
  <c r="K216" i="3"/>
  <c r="K217" i="3"/>
  <c r="H39" i="7" s="1"/>
  <c r="K218" i="3"/>
  <c r="K213" i="3"/>
  <c r="K211" i="3"/>
  <c r="K212" i="3"/>
  <c r="L75" i="11" s="1"/>
  <c r="L74" i="11" s="1"/>
  <c r="K210" i="3"/>
  <c r="K199" i="3"/>
  <c r="K200" i="3"/>
  <c r="K201" i="3"/>
  <c r="K202" i="3"/>
  <c r="K203" i="3"/>
  <c r="K192" i="3"/>
  <c r="K193" i="3"/>
  <c r="K194" i="3"/>
  <c r="K195" i="3"/>
  <c r="K196" i="3"/>
  <c r="K181" i="3"/>
  <c r="K182" i="3"/>
  <c r="K183" i="3"/>
  <c r="K184" i="3"/>
  <c r="K185" i="3"/>
  <c r="K186" i="3"/>
  <c r="K187" i="3"/>
  <c r="K188" i="3"/>
  <c r="K189" i="3"/>
  <c r="K190" i="3"/>
  <c r="K191" i="3"/>
  <c r="K172" i="3"/>
  <c r="K155" i="3"/>
  <c r="K156" i="3"/>
  <c r="K157" i="3"/>
  <c r="L57" i="11" s="1"/>
  <c r="K130" i="3"/>
  <c r="K131" i="3"/>
  <c r="K132" i="3"/>
  <c r="K129" i="3"/>
  <c r="K114" i="3"/>
  <c r="K115" i="3"/>
  <c r="K116" i="3"/>
  <c r="K117" i="3"/>
  <c r="K118" i="3"/>
  <c r="K119" i="3"/>
  <c r="K120" i="3"/>
  <c r="K121" i="3"/>
  <c r="K122" i="3"/>
  <c r="L38" i="11" s="1"/>
  <c r="K123" i="3"/>
  <c r="K124" i="3"/>
  <c r="K125" i="3"/>
  <c r="K113" i="3"/>
  <c r="K105" i="3"/>
  <c r="K106" i="3"/>
  <c r="K101" i="3"/>
  <c r="N34" i="11" s="1"/>
  <c r="K102" i="3"/>
  <c r="K103" i="3"/>
  <c r="K104" i="3"/>
  <c r="K97" i="3"/>
  <c r="K98" i="3"/>
  <c r="K99" i="3"/>
  <c r="K100" i="3"/>
  <c r="K108" i="3"/>
  <c r="K109" i="3"/>
  <c r="K96" i="3"/>
  <c r="K88" i="3"/>
  <c r="K89" i="3"/>
  <c r="K90" i="3"/>
  <c r="K91" i="3"/>
  <c r="K92" i="3"/>
  <c r="K93" i="3"/>
  <c r="G13" i="7" s="1"/>
  <c r="K94" i="3"/>
  <c r="H13" i="7" s="1"/>
  <c r="K87" i="3"/>
  <c r="K81" i="3"/>
  <c r="K82" i="3"/>
  <c r="K83" i="3"/>
  <c r="K84" i="3"/>
  <c r="K85" i="3"/>
  <c r="K77" i="3"/>
  <c r="K78" i="3"/>
  <c r="K79" i="3"/>
  <c r="K80" i="3"/>
  <c r="K65" i="3"/>
  <c r="K66" i="3"/>
  <c r="K68" i="3"/>
  <c r="K69" i="3"/>
  <c r="K70" i="3"/>
  <c r="K71" i="3"/>
  <c r="K72" i="3"/>
  <c r="K73" i="3"/>
  <c r="K74" i="3"/>
  <c r="K76" i="3"/>
  <c r="K64" i="3"/>
  <c r="K27" i="3"/>
  <c r="K29" i="3"/>
  <c r="K30" i="3"/>
  <c r="K32" i="3"/>
  <c r="K33" i="3"/>
  <c r="K34" i="3"/>
  <c r="K25" i="3"/>
  <c r="D24" i="11" s="1"/>
  <c r="K16" i="3"/>
  <c r="K17" i="3"/>
  <c r="J17" i="11" s="1"/>
  <c r="J16" i="11" s="1"/>
  <c r="K15" i="3"/>
  <c r="K475" i="3"/>
  <c r="K474" i="3"/>
  <c r="K473" i="3"/>
  <c r="K466" i="3"/>
  <c r="K467" i="3"/>
  <c r="K469" i="3"/>
  <c r="L152" i="11" s="1"/>
  <c r="K461" i="3"/>
  <c r="L149" i="11" s="1"/>
  <c r="K457" i="3"/>
  <c r="K458" i="3"/>
  <c r="K459" i="3"/>
  <c r="K460" i="3"/>
  <c r="K450" i="3"/>
  <c r="K444" i="3"/>
  <c r="K445" i="3"/>
  <c r="K446" i="3"/>
  <c r="K447" i="3"/>
  <c r="K448" i="3"/>
  <c r="J143" i="11" s="1"/>
  <c r="K443" i="3"/>
  <c r="K420" i="3"/>
  <c r="K421" i="3"/>
  <c r="K422" i="3"/>
  <c r="K423" i="3"/>
  <c r="K424" i="3"/>
  <c r="K425" i="3"/>
  <c r="K426" i="3"/>
  <c r="K427" i="3"/>
  <c r="K428" i="3"/>
  <c r="K429" i="3"/>
  <c r="L139" i="11" s="1"/>
  <c r="L137" i="11" s="1"/>
  <c r="K430" i="3"/>
  <c r="K431" i="3"/>
  <c r="K432" i="3"/>
  <c r="K433" i="3"/>
  <c r="K434" i="3"/>
  <c r="K435" i="3"/>
  <c r="K436" i="3"/>
  <c r="K437" i="3"/>
  <c r="K438" i="3"/>
  <c r="K416" i="3"/>
  <c r="K417" i="3"/>
  <c r="K418" i="3"/>
  <c r="K419" i="3"/>
  <c r="K415" i="3"/>
  <c r="K412" i="3"/>
  <c r="K413" i="3"/>
  <c r="J138" i="11" s="1"/>
  <c r="K411" i="3"/>
  <c r="H138" i="11" s="1"/>
  <c r="K401" i="3"/>
  <c r="K402" i="3"/>
  <c r="K398" i="3"/>
  <c r="K399" i="3"/>
  <c r="K400" i="3"/>
  <c r="K397" i="3"/>
  <c r="K396" i="3"/>
  <c r="K388" i="3"/>
  <c r="K308" i="3"/>
  <c r="K313" i="3"/>
  <c r="K294" i="3"/>
  <c r="K295" i="3"/>
  <c r="K296" i="3"/>
  <c r="K297" i="3"/>
  <c r="F30" i="8" s="1"/>
  <c r="K298" i="3"/>
  <c r="K293" i="3"/>
  <c r="K282" i="3"/>
  <c r="K303" i="3"/>
  <c r="K302" i="3"/>
  <c r="M270" i="3"/>
  <c r="N270" i="3"/>
  <c r="O270" i="3"/>
  <c r="P270" i="3"/>
  <c r="L257" i="3"/>
  <c r="L254" i="3" s="1"/>
  <c r="M257" i="3"/>
  <c r="M254" i="3" s="1"/>
  <c r="N257" i="3"/>
  <c r="N254" i="3" s="1"/>
  <c r="O257" i="3"/>
  <c r="O254" i="3" s="1"/>
  <c r="P257" i="3"/>
  <c r="P254" i="3" s="1"/>
  <c r="K259" i="3"/>
  <c r="K260" i="3"/>
  <c r="K261" i="3"/>
  <c r="K262" i="3"/>
  <c r="K263" i="3"/>
  <c r="K264" i="3"/>
  <c r="K265" i="3"/>
  <c r="K258" i="3"/>
  <c r="L238" i="3"/>
  <c r="M238" i="3"/>
  <c r="N238" i="3"/>
  <c r="O238" i="3"/>
  <c r="P238" i="3"/>
  <c r="K239" i="3"/>
  <c r="J88" i="11" s="1"/>
  <c r="R88" i="11" s="1"/>
  <c r="K240" i="3"/>
  <c r="I31" i="7" s="1"/>
  <c r="C32" i="6"/>
  <c r="C60" i="6"/>
  <c r="C61" i="6"/>
  <c r="M63" i="3"/>
  <c r="N63" i="3"/>
  <c r="O63" i="3"/>
  <c r="P63" i="3"/>
  <c r="K136" i="3"/>
  <c r="J44" i="11" s="1"/>
  <c r="J42" i="11" s="1"/>
  <c r="L107" i="3"/>
  <c r="M107" i="3"/>
  <c r="N107" i="3"/>
  <c r="O107" i="3"/>
  <c r="P107" i="3"/>
  <c r="C13" i="6"/>
  <c r="L410" i="3"/>
  <c r="M410" i="3"/>
  <c r="N410" i="3"/>
  <c r="O410" i="3"/>
  <c r="P410" i="3"/>
  <c r="C8" i="6"/>
  <c r="C62" i="6"/>
  <c r="C42" i="6"/>
  <c r="C63" i="6"/>
  <c r="C46" i="6"/>
  <c r="C45" i="6"/>
  <c r="L198" i="3"/>
  <c r="L197" i="3" s="1"/>
  <c r="M198" i="3"/>
  <c r="N198" i="3"/>
  <c r="N197" i="3" s="1"/>
  <c r="O198" i="3"/>
  <c r="O197" i="3" s="1"/>
  <c r="P198" i="3"/>
  <c r="P197" i="3" s="1"/>
  <c r="K204" i="3"/>
  <c r="C83" i="6"/>
  <c r="C25" i="6"/>
  <c r="C82" i="6"/>
  <c r="K161" i="3"/>
  <c r="K159" i="3"/>
  <c r="K160" i="3"/>
  <c r="K162" i="3"/>
  <c r="K456" i="3"/>
  <c r="K165" i="3"/>
  <c r="K180" i="3"/>
  <c r="K178" i="3"/>
  <c r="K168" i="3"/>
  <c r="K164" i="3"/>
  <c r="K163" i="3"/>
  <c r="K405" i="3"/>
  <c r="C6" i="6"/>
  <c r="C41" i="6"/>
  <c r="C69" i="6"/>
  <c r="C68" i="6"/>
  <c r="C67" i="6"/>
  <c r="C29" i="6"/>
  <c r="C30" i="6"/>
  <c r="C38" i="6"/>
  <c r="M304" i="3"/>
  <c r="N304" i="3"/>
  <c r="O304" i="3"/>
  <c r="P304" i="3"/>
  <c r="C7" i="6"/>
  <c r="C36" i="6"/>
  <c r="C31" i="6"/>
  <c r="K152" i="3"/>
  <c r="K465" i="3"/>
  <c r="J152" i="11" s="1"/>
  <c r="P464" i="3"/>
  <c r="P455" i="3"/>
  <c r="P442" i="3"/>
  <c r="L414" i="3"/>
  <c r="M414" i="3"/>
  <c r="N414" i="3"/>
  <c r="O414" i="3"/>
  <c r="P414" i="3"/>
  <c r="P395" i="3"/>
  <c r="L324" i="3"/>
  <c r="L322" i="3" s="1"/>
  <c r="M324" i="3"/>
  <c r="M322" i="3" s="1"/>
  <c r="N324" i="3"/>
  <c r="N322" i="3" s="1"/>
  <c r="O324" i="3"/>
  <c r="O322" i="3" s="1"/>
  <c r="P324" i="3"/>
  <c r="P322" i="3" s="1"/>
  <c r="P292" i="3"/>
  <c r="P245" i="3"/>
  <c r="L236" i="3"/>
  <c r="M236" i="3"/>
  <c r="N236" i="3"/>
  <c r="O236" i="3"/>
  <c r="P236" i="3"/>
  <c r="P229" i="3"/>
  <c r="L208" i="3"/>
  <c r="M208" i="3"/>
  <c r="N208" i="3"/>
  <c r="O208" i="3"/>
  <c r="P208" i="3"/>
  <c r="L151" i="3"/>
  <c r="M151" i="3"/>
  <c r="N151" i="3"/>
  <c r="O151" i="3"/>
  <c r="P151" i="3"/>
  <c r="P135" i="3"/>
  <c r="P133" i="3" s="1"/>
  <c r="P128" i="3"/>
  <c r="P112" i="3"/>
  <c r="P95" i="3"/>
  <c r="P86" i="3"/>
  <c r="P24" i="3"/>
  <c r="P23" i="3" s="1"/>
  <c r="P14" i="3"/>
  <c r="P13" i="3" s="1"/>
  <c r="L14" i="3"/>
  <c r="L13" i="3" s="1"/>
  <c r="E8" i="9"/>
  <c r="C13" i="9"/>
  <c r="D13" i="9"/>
  <c r="C20" i="9"/>
  <c r="D20" i="9"/>
  <c r="E20" i="9"/>
  <c r="C21" i="9"/>
  <c r="D21" i="9"/>
  <c r="E21" i="9"/>
  <c r="C22" i="9"/>
  <c r="D22" i="9"/>
  <c r="E22" i="9"/>
  <c r="AG24" i="9"/>
  <c r="C25" i="9"/>
  <c r="D25" i="9"/>
  <c r="E25" i="9"/>
  <c r="C26" i="9"/>
  <c r="D26" i="9"/>
  <c r="E26" i="9"/>
  <c r="AG27" i="9"/>
  <c r="AG28" i="9"/>
  <c r="D30" i="9"/>
  <c r="C33" i="9"/>
  <c r="D33" i="9"/>
  <c r="AG34" i="9"/>
  <c r="C36" i="9"/>
  <c r="D36" i="9"/>
  <c r="AG38" i="9"/>
  <c r="D41" i="9"/>
  <c r="C42" i="9"/>
  <c r="D42" i="9"/>
  <c r="C44" i="9"/>
  <c r="D44" i="9"/>
  <c r="E44" i="9"/>
  <c r="C46" i="9"/>
  <c r="D46" i="9"/>
  <c r="C48" i="9"/>
  <c r="D48" i="9"/>
  <c r="E48" i="9"/>
  <c r="C50" i="9"/>
  <c r="D50" i="9"/>
  <c r="D51" i="9"/>
  <c r="E51" i="9"/>
  <c r="C53" i="9"/>
  <c r="D53" i="9"/>
  <c r="E53" i="9"/>
  <c r="AG55" i="9"/>
  <c r="C17" i="6"/>
  <c r="C22" i="6"/>
  <c r="C47" i="6"/>
  <c r="K138" i="3"/>
  <c r="L44" i="11" s="1"/>
  <c r="L42" i="11" s="1"/>
  <c r="K179" i="3"/>
  <c r="K154" i="3"/>
  <c r="K153" i="3"/>
  <c r="M464" i="3"/>
  <c r="N464" i="3"/>
  <c r="O464" i="3"/>
  <c r="M95" i="3"/>
  <c r="N95" i="3"/>
  <c r="O95" i="3"/>
  <c r="L112" i="3"/>
  <c r="M112" i="3"/>
  <c r="N112" i="3"/>
  <c r="O112" i="3"/>
  <c r="L229" i="3"/>
  <c r="M229" i="3"/>
  <c r="N229" i="3"/>
  <c r="O229" i="3"/>
  <c r="L292" i="3"/>
  <c r="M292" i="3"/>
  <c r="N292" i="3"/>
  <c r="O292" i="3"/>
  <c r="M395" i="3"/>
  <c r="N395" i="3"/>
  <c r="O395" i="3"/>
  <c r="L455" i="3"/>
  <c r="M455" i="3"/>
  <c r="N455" i="3"/>
  <c r="O455" i="3"/>
  <c r="L472" i="3"/>
  <c r="L471" i="3" s="1"/>
  <c r="M472" i="3"/>
  <c r="M471" i="3" s="1"/>
  <c r="N472" i="3"/>
  <c r="N471" i="3" s="1"/>
  <c r="O472" i="3"/>
  <c r="O471" i="3" s="1"/>
  <c r="P472" i="3"/>
  <c r="P471" i="3" s="1"/>
  <c r="L404" i="5"/>
  <c r="K404" i="5"/>
  <c r="P318" i="3"/>
  <c r="O318" i="3"/>
  <c r="N318" i="3"/>
  <c r="M318" i="3"/>
  <c r="L318" i="3"/>
  <c r="K318" i="3"/>
  <c r="L135" i="3"/>
  <c r="L133" i="3" s="1"/>
  <c r="M135" i="3"/>
  <c r="M133" i="3" s="1"/>
  <c r="N135" i="3"/>
  <c r="N133" i="3" s="1"/>
  <c r="O135" i="3"/>
  <c r="O133" i="3" s="1"/>
  <c r="L227" i="3"/>
  <c r="M227" i="3"/>
  <c r="N227" i="3"/>
  <c r="O227" i="3"/>
  <c r="P227" i="3"/>
  <c r="M301" i="3"/>
  <c r="N301" i="3"/>
  <c r="O301" i="3"/>
  <c r="P301" i="3"/>
  <c r="M245" i="3"/>
  <c r="N245" i="3"/>
  <c r="O245" i="3"/>
  <c r="L86" i="3"/>
  <c r="M86" i="3"/>
  <c r="N86" i="3"/>
  <c r="O86" i="3"/>
  <c r="L442" i="3"/>
  <c r="M442" i="3"/>
  <c r="N442" i="3"/>
  <c r="O442" i="3"/>
  <c r="L242" i="3"/>
  <c r="M242" i="3"/>
  <c r="M241" i="3" s="1"/>
  <c r="N242" i="3"/>
  <c r="N241" i="3" s="1"/>
  <c r="O242" i="3"/>
  <c r="O241" i="3" s="1"/>
  <c r="P242" i="3"/>
  <c r="P167" i="3"/>
  <c r="O167" i="3"/>
  <c r="N167" i="3"/>
  <c r="M167" i="3"/>
  <c r="L167" i="3"/>
  <c r="L479" i="3"/>
  <c r="M479" i="3"/>
  <c r="N479" i="3"/>
  <c r="O479" i="3"/>
  <c r="P479" i="3"/>
  <c r="K479" i="3"/>
  <c r="L388" i="3"/>
  <c r="M388" i="3"/>
  <c r="N388" i="3"/>
  <c r="O388" i="3"/>
  <c r="P388" i="3"/>
  <c r="L146" i="3"/>
  <c r="M146" i="3"/>
  <c r="N146" i="3"/>
  <c r="O146" i="3"/>
  <c r="P146" i="3"/>
  <c r="K146" i="3"/>
  <c r="L143" i="3"/>
  <c r="M143" i="3"/>
  <c r="N143" i="3"/>
  <c r="O143" i="3"/>
  <c r="P143" i="3"/>
  <c r="K143" i="3"/>
  <c r="K9" i="3"/>
  <c r="L9" i="3"/>
  <c r="M9" i="3"/>
  <c r="N9" i="3"/>
  <c r="O9" i="3"/>
  <c r="P9" i="3"/>
  <c r="L449" i="3"/>
  <c r="M449" i="3"/>
  <c r="N449" i="3"/>
  <c r="O449" i="3"/>
  <c r="P449" i="3"/>
  <c r="L404" i="3"/>
  <c r="M404" i="3"/>
  <c r="N404" i="3"/>
  <c r="O404" i="3"/>
  <c r="P404" i="3"/>
  <c r="L316" i="3"/>
  <c r="M316" i="3"/>
  <c r="N316" i="3"/>
  <c r="N315" i="3" s="1"/>
  <c r="O316" i="3"/>
  <c r="O315" i="3" s="1"/>
  <c r="P316" i="3"/>
  <c r="M197" i="3"/>
  <c r="M171" i="3"/>
  <c r="N171" i="3"/>
  <c r="O171" i="3"/>
  <c r="L128" i="3"/>
  <c r="M128" i="3"/>
  <c r="N128" i="3"/>
  <c r="O128" i="3"/>
  <c r="L24" i="3"/>
  <c r="L23" i="3" s="1"/>
  <c r="M24" i="3"/>
  <c r="M23" i="3" s="1"/>
  <c r="N24" i="3"/>
  <c r="N23" i="3" s="1"/>
  <c r="O24" i="3"/>
  <c r="O23" i="3" s="1"/>
  <c r="M14" i="3"/>
  <c r="M13" i="3" s="1"/>
  <c r="N14" i="3"/>
  <c r="N13" i="3" s="1"/>
  <c r="O14" i="3"/>
  <c r="O13" i="3" s="1"/>
  <c r="L304" i="3"/>
  <c r="L301" i="3"/>
  <c r="L171" i="3"/>
  <c r="P171" i="3"/>
  <c r="L95" i="3"/>
  <c r="L395" i="3"/>
  <c r="L464" i="3"/>
  <c r="L63" i="3"/>
  <c r="K75" i="3"/>
  <c r="L245" i="3"/>
  <c r="K247" i="3"/>
  <c r="K274" i="3"/>
  <c r="L270" i="3"/>
  <c r="L315" i="3" l="1"/>
  <c r="P315" i="3"/>
  <c r="J110" i="11"/>
  <c r="R110" i="11" s="1"/>
  <c r="K37" i="3"/>
  <c r="L147" i="11"/>
  <c r="P440" i="3"/>
  <c r="J68" i="11"/>
  <c r="J66" i="11" s="1"/>
  <c r="F30" i="7"/>
  <c r="R138" i="11"/>
  <c r="S119" i="11"/>
  <c r="J149" i="11"/>
  <c r="J147" i="11" s="1"/>
  <c r="J131" i="11"/>
  <c r="J130" i="11" s="1"/>
  <c r="J38" i="11"/>
  <c r="J37" i="11" s="1"/>
  <c r="J36" i="11" s="1"/>
  <c r="H92" i="11"/>
  <c r="R92" i="11" s="1"/>
  <c r="N32" i="11"/>
  <c r="L143" i="11"/>
  <c r="L141" i="11" s="1"/>
  <c r="L129" i="11" s="1"/>
  <c r="L128" i="11" s="1"/>
  <c r="H102" i="11"/>
  <c r="H101" i="11" s="1"/>
  <c r="H93" i="11" s="1"/>
  <c r="K449" i="3"/>
  <c r="J144" i="11"/>
  <c r="R144" i="11" s="1"/>
  <c r="K171" i="3"/>
  <c r="J63" i="11"/>
  <c r="R63" i="11" s="1"/>
  <c r="K227" i="3"/>
  <c r="J84" i="11"/>
  <c r="R44" i="11"/>
  <c r="J57" i="11"/>
  <c r="R57" i="11" s="1"/>
  <c r="F23" i="8"/>
  <c r="H133" i="11"/>
  <c r="H130" i="11" s="1"/>
  <c r="L68" i="11"/>
  <c r="L66" i="11" s="1"/>
  <c r="J139" i="11"/>
  <c r="J137" i="11" s="1"/>
  <c r="J155" i="11"/>
  <c r="J24" i="11"/>
  <c r="J23" i="11" s="1"/>
  <c r="F25" i="8"/>
  <c r="G25" i="8" s="1"/>
  <c r="H25" i="8" s="1"/>
  <c r="I25" i="8" s="1"/>
  <c r="H32" i="11"/>
  <c r="L33" i="11"/>
  <c r="H12" i="7"/>
  <c r="L35" i="11"/>
  <c r="J34" i="11"/>
  <c r="L41" i="11"/>
  <c r="R41" i="11" s="1"/>
  <c r="H68" i="11"/>
  <c r="I40" i="7"/>
  <c r="N70" i="11"/>
  <c r="N69" i="11" s="1"/>
  <c r="N55" i="11" s="1"/>
  <c r="N47" i="11" s="1"/>
  <c r="L70" i="11"/>
  <c r="L69" i="11" s="1"/>
  <c r="H31" i="7"/>
  <c r="L85" i="11"/>
  <c r="L78" i="11" s="1"/>
  <c r="L77" i="11" s="1"/>
  <c r="J85" i="11"/>
  <c r="L27" i="11"/>
  <c r="L26" i="11" s="1"/>
  <c r="J27" i="11"/>
  <c r="J26" i="11" s="1"/>
  <c r="L121" i="11"/>
  <c r="L119" i="11" s="1"/>
  <c r="L118" i="11" s="1"/>
  <c r="J111" i="11"/>
  <c r="H27" i="11"/>
  <c r="H26" i="11" s="1"/>
  <c r="H22" i="11" s="1"/>
  <c r="S66" i="11"/>
  <c r="D26" i="11"/>
  <c r="F24" i="7"/>
  <c r="H149" i="11"/>
  <c r="I12" i="7"/>
  <c r="N35" i="11"/>
  <c r="G14" i="7"/>
  <c r="K14" i="7" s="1"/>
  <c r="L58" i="11"/>
  <c r="K281" i="3"/>
  <c r="J104" i="11"/>
  <c r="R104" i="11" s="1"/>
  <c r="F17" i="8"/>
  <c r="G17" i="8" s="1"/>
  <c r="H17" i="8" s="1"/>
  <c r="I17" i="8" s="1"/>
  <c r="H139" i="11"/>
  <c r="L17" i="11"/>
  <c r="L16" i="11" s="1"/>
  <c r="R16" i="11" s="1"/>
  <c r="J32" i="11"/>
  <c r="L32" i="11"/>
  <c r="G10" i="8"/>
  <c r="H10" i="8" s="1"/>
  <c r="J33" i="11"/>
  <c r="K236" i="3"/>
  <c r="J87" i="11"/>
  <c r="R87" i="11" s="1"/>
  <c r="J102" i="11"/>
  <c r="J121" i="11"/>
  <c r="L111" i="11"/>
  <c r="L106" i="11" s="1"/>
  <c r="L24" i="11"/>
  <c r="L23" i="11" s="1"/>
  <c r="L22" i="11" s="1"/>
  <c r="K167" i="3"/>
  <c r="L60" i="11"/>
  <c r="R60" i="11" s="1"/>
  <c r="F19" i="7"/>
  <c r="K19" i="7" s="1"/>
  <c r="H38" i="11"/>
  <c r="G37" i="8"/>
  <c r="H37" i="8" s="1"/>
  <c r="J58" i="11"/>
  <c r="L97" i="11"/>
  <c r="H107" i="11"/>
  <c r="H106" i="11" s="1"/>
  <c r="H105" i="11" s="1"/>
  <c r="J107" i="11"/>
  <c r="I22" i="7"/>
  <c r="N152" i="11"/>
  <c r="N147" i="11" s="1"/>
  <c r="N129" i="11" s="1"/>
  <c r="N128" i="11" s="1"/>
  <c r="F13" i="7"/>
  <c r="K13" i="7" s="1"/>
  <c r="H33" i="11"/>
  <c r="L34" i="11"/>
  <c r="K242" i="3"/>
  <c r="H90" i="11"/>
  <c r="L102" i="11"/>
  <c r="L101" i="11" s="1"/>
  <c r="K316" i="3"/>
  <c r="K315" i="3" s="1"/>
  <c r="L114" i="11"/>
  <c r="S141" i="11"/>
  <c r="S74" i="11"/>
  <c r="S42" i="11"/>
  <c r="I22" i="11"/>
  <c r="M315" i="3"/>
  <c r="E30" i="9"/>
  <c r="Q440" i="3"/>
  <c r="P394" i="3"/>
  <c r="E52" i="9"/>
  <c r="O409" i="3"/>
  <c r="H33" i="7"/>
  <c r="F25" i="7"/>
  <c r="N409" i="3"/>
  <c r="O8" i="3"/>
  <c r="G43" i="7"/>
  <c r="D44" i="7"/>
  <c r="D44" i="8"/>
  <c r="F44" i="8" s="1"/>
  <c r="G44" i="8" s="1"/>
  <c r="P142" i="3"/>
  <c r="F42" i="7"/>
  <c r="K42" i="7" s="1"/>
  <c r="F42" i="8"/>
  <c r="H43" i="7"/>
  <c r="C43" i="8"/>
  <c r="G43" i="8" s="1"/>
  <c r="H43" i="8" s="1"/>
  <c r="F44" i="7"/>
  <c r="L8" i="3"/>
  <c r="O440" i="3"/>
  <c r="F17" i="7"/>
  <c r="N269" i="3"/>
  <c r="N253" i="3" s="1"/>
  <c r="L269" i="3"/>
  <c r="L253" i="3" s="1"/>
  <c r="G10" i="7"/>
  <c r="M409" i="3"/>
  <c r="P269" i="3"/>
  <c r="P253" i="3" s="1"/>
  <c r="F18" i="7"/>
  <c r="K18" i="7" s="1"/>
  <c r="H9" i="7"/>
  <c r="K9" i="7" s="1"/>
  <c r="G24" i="7"/>
  <c r="H11" i="7"/>
  <c r="G28" i="8"/>
  <c r="H28" i="8" s="1"/>
  <c r="G44" i="7"/>
  <c r="J41" i="7"/>
  <c r="G21" i="7"/>
  <c r="Q453" i="3"/>
  <c r="Q321" i="3"/>
  <c r="Q150" i="3"/>
  <c r="Q149" i="3" s="1"/>
  <c r="Q22" i="3"/>
  <c r="E19" i="9"/>
  <c r="G33" i="8"/>
  <c r="H33" i="8" s="1"/>
  <c r="L142" i="3"/>
  <c r="N453" i="3"/>
  <c r="N394" i="3"/>
  <c r="P409" i="3"/>
  <c r="F29" i="7"/>
  <c r="L453" i="3"/>
  <c r="P241" i="3"/>
  <c r="H22" i="7"/>
  <c r="L111" i="3"/>
  <c r="L110" i="3" s="1"/>
  <c r="M22" i="3"/>
  <c r="E41" i="9"/>
  <c r="O321" i="3"/>
  <c r="M62" i="3"/>
  <c r="M61" i="3" s="1"/>
  <c r="P111" i="3"/>
  <c r="P110" i="3" s="1"/>
  <c r="E42" i="9"/>
  <c r="M440" i="3"/>
  <c r="N221" i="3"/>
  <c r="N220" i="3" s="1"/>
  <c r="O470" i="3"/>
  <c r="O453" i="3"/>
  <c r="O394" i="3"/>
  <c r="N291" i="3"/>
  <c r="N290" i="3" s="1"/>
  <c r="G41" i="7"/>
  <c r="G28" i="7"/>
  <c r="M291" i="3"/>
  <c r="M290" i="3" s="1"/>
  <c r="H9" i="8"/>
  <c r="O22" i="3"/>
  <c r="N111" i="3"/>
  <c r="N110" i="3" s="1"/>
  <c r="F13" i="8"/>
  <c r="G13" i="8" s="1"/>
  <c r="H13" i="8" s="1"/>
  <c r="N62" i="3"/>
  <c r="N61" i="3" s="1"/>
  <c r="G15" i="7"/>
  <c r="K15" i="7" s="1"/>
  <c r="G16" i="7"/>
  <c r="K16" i="7" s="1"/>
  <c r="I25" i="7"/>
  <c r="G31" i="8"/>
  <c r="H31" i="8" s="1"/>
  <c r="I31" i="8" s="1"/>
  <c r="G41" i="8"/>
  <c r="H41" i="8" s="1"/>
  <c r="J41" i="8" s="1"/>
  <c r="P470" i="3"/>
  <c r="N8" i="3"/>
  <c r="L440" i="3"/>
  <c r="P291" i="3"/>
  <c r="P290" i="3" s="1"/>
  <c r="M470" i="3"/>
  <c r="M453" i="3"/>
  <c r="L291" i="3"/>
  <c r="L290" i="3" s="1"/>
  <c r="F18" i="8"/>
  <c r="K472" i="3"/>
  <c r="K471" i="3" s="1"/>
  <c r="K470" i="3" s="1"/>
  <c r="I11" i="7"/>
  <c r="M221" i="3"/>
  <c r="M220" i="3" s="1"/>
  <c r="E47" i="9"/>
  <c r="G30" i="7"/>
  <c r="E7" i="9"/>
  <c r="K464" i="3"/>
  <c r="K198" i="3"/>
  <c r="K197" i="3" s="1"/>
  <c r="F32" i="8"/>
  <c r="M8" i="3"/>
  <c r="N150" i="3"/>
  <c r="N149" i="3" s="1"/>
  <c r="M321" i="3"/>
  <c r="E27" i="9"/>
  <c r="L409" i="3"/>
  <c r="P150" i="3"/>
  <c r="P149" i="3" s="1"/>
  <c r="E39" i="9"/>
  <c r="H34" i="7"/>
  <c r="E31" i="9"/>
  <c r="L150" i="3"/>
  <c r="L149" i="3" s="1"/>
  <c r="K304" i="3"/>
  <c r="L22" i="3"/>
  <c r="N142" i="3"/>
  <c r="L470" i="3"/>
  <c r="O291" i="3"/>
  <c r="O290" i="3" s="1"/>
  <c r="O111" i="3"/>
  <c r="O110" i="3" s="1"/>
  <c r="O62" i="3"/>
  <c r="O61" i="3" s="1"/>
  <c r="E50" i="9"/>
  <c r="E28" i="9"/>
  <c r="F19" i="8"/>
  <c r="G30" i="8"/>
  <c r="G16" i="8"/>
  <c r="K442" i="3"/>
  <c r="G22" i="8"/>
  <c r="H22" i="8" s="1"/>
  <c r="I22" i="8" s="1"/>
  <c r="E37" i="9"/>
  <c r="E49" i="9"/>
  <c r="H28" i="7"/>
  <c r="H38" i="7"/>
  <c r="Q470" i="3"/>
  <c r="Q221" i="3"/>
  <c r="Q62" i="3"/>
  <c r="Q61" i="3" s="1"/>
  <c r="E33" i="9"/>
  <c r="G33" i="7"/>
  <c r="F32" i="7"/>
  <c r="K32" i="7" s="1"/>
  <c r="G22" i="7"/>
  <c r="P22" i="3"/>
  <c r="N22" i="3"/>
  <c r="O142" i="3"/>
  <c r="K142" i="3"/>
  <c r="N321" i="3"/>
  <c r="O150" i="3"/>
  <c r="O149" i="3" s="1"/>
  <c r="N440" i="3"/>
  <c r="P321" i="3"/>
  <c r="L321" i="3"/>
  <c r="P453" i="3"/>
  <c r="K238" i="3"/>
  <c r="Q241" i="3"/>
  <c r="Q111" i="3"/>
  <c r="Q110" i="3" s="1"/>
  <c r="K270" i="3"/>
  <c r="L241" i="3"/>
  <c r="P8" i="3"/>
  <c r="M394" i="3"/>
  <c r="P62" i="3"/>
  <c r="P61" i="3" s="1"/>
  <c r="M150" i="3"/>
  <c r="M149" i="3" s="1"/>
  <c r="P221" i="3"/>
  <c r="L221" i="3"/>
  <c r="O269" i="3"/>
  <c r="O253" i="3" s="1"/>
  <c r="G15" i="8"/>
  <c r="Q142" i="3"/>
  <c r="K63" i="3"/>
  <c r="E10" i="9"/>
  <c r="F23" i="7"/>
  <c r="K23" i="7" s="1"/>
  <c r="F27" i="7"/>
  <c r="K27" i="7" s="1"/>
  <c r="F41" i="7"/>
  <c r="H12" i="8"/>
  <c r="I12" i="8" s="1"/>
  <c r="G37" i="7"/>
  <c r="G34" i="7"/>
  <c r="Q394" i="3"/>
  <c r="Q291" i="3"/>
  <c r="F29" i="8"/>
  <c r="G29" i="8" s="1"/>
  <c r="H29" i="8" s="1"/>
  <c r="K245" i="3"/>
  <c r="L62" i="3"/>
  <c r="L61" i="3" s="1"/>
  <c r="L394" i="3"/>
  <c r="N470" i="3"/>
  <c r="M111" i="3"/>
  <c r="M110" i="3" s="1"/>
  <c r="K158" i="3"/>
  <c r="G34" i="8"/>
  <c r="H34" i="8" s="1"/>
  <c r="I34" i="8" s="1"/>
  <c r="H36" i="7"/>
  <c r="K36" i="7" s="1"/>
  <c r="M269" i="3"/>
  <c r="M253" i="3" s="1"/>
  <c r="K404" i="3"/>
  <c r="O221" i="3"/>
  <c r="O220" i="3" s="1"/>
  <c r="E13" i="9"/>
  <c r="K301" i="3"/>
  <c r="K395" i="3"/>
  <c r="K410" i="3"/>
  <c r="I17" i="7"/>
  <c r="K455" i="3"/>
  <c r="E43" i="9"/>
  <c r="G26" i="8"/>
  <c r="K24" i="3"/>
  <c r="K23" i="3" s="1"/>
  <c r="K36" i="3"/>
  <c r="K128" i="3"/>
  <c r="O10" i="11"/>
  <c r="E17" i="9"/>
  <c r="M142" i="3"/>
  <c r="G26" i="7"/>
  <c r="K26" i="7" s="1"/>
  <c r="K177" i="3"/>
  <c r="K175" i="3" s="1"/>
  <c r="H37" i="7"/>
  <c r="K107" i="3"/>
  <c r="K292" i="3"/>
  <c r="D23" i="11"/>
  <c r="E12" i="9"/>
  <c r="E11" i="9"/>
  <c r="H17" i="7"/>
  <c r="E15" i="9"/>
  <c r="G14" i="8"/>
  <c r="E45" i="9"/>
  <c r="F24" i="8"/>
  <c r="G24" i="8" s="1"/>
  <c r="E36" i="9"/>
  <c r="K14" i="3"/>
  <c r="K13" i="3" s="1"/>
  <c r="K8" i="3" s="1"/>
  <c r="E24" i="9"/>
  <c r="K86" i="3"/>
  <c r="K95" i="3"/>
  <c r="H10" i="7"/>
  <c r="G11" i="7"/>
  <c r="G11" i="8"/>
  <c r="H11" i="8" s="1"/>
  <c r="I11" i="8" s="1"/>
  <c r="G20" i="7"/>
  <c r="K20" i="7" s="1"/>
  <c r="K112" i="3"/>
  <c r="G20" i="8"/>
  <c r="H40" i="7"/>
  <c r="H40" i="8"/>
  <c r="I40" i="8" s="1"/>
  <c r="E54" i="9"/>
  <c r="K39" i="7"/>
  <c r="H39" i="8"/>
  <c r="K208" i="3"/>
  <c r="K229" i="3"/>
  <c r="G31" i="7"/>
  <c r="E55" i="9"/>
  <c r="K324" i="3"/>
  <c r="K322" i="3" s="1"/>
  <c r="K321" i="3" s="1"/>
  <c r="H29" i="7"/>
  <c r="E153" i="11"/>
  <c r="S159" i="11"/>
  <c r="E128" i="11"/>
  <c r="K48" i="11"/>
  <c r="S49" i="11"/>
  <c r="E11" i="11"/>
  <c r="S12" i="11"/>
  <c r="C43" i="7"/>
  <c r="H25" i="7"/>
  <c r="I106" i="11"/>
  <c r="I105" i="11" s="1"/>
  <c r="S107" i="11"/>
  <c r="I89" i="11"/>
  <c r="S90" i="11"/>
  <c r="F93" i="11"/>
  <c r="E93" i="11"/>
  <c r="S94" i="11"/>
  <c r="G25" i="7"/>
  <c r="G17" i="7"/>
  <c r="K151" i="3"/>
  <c r="G38" i="8"/>
  <c r="H38" i="8" s="1"/>
  <c r="G38" i="7"/>
  <c r="E38" i="9"/>
  <c r="H21" i="7"/>
  <c r="G21" i="8"/>
  <c r="H21" i="8" s="1"/>
  <c r="K135" i="3"/>
  <c r="K133" i="3" s="1"/>
  <c r="E32" i="9"/>
  <c r="K257" i="3"/>
  <c r="K254" i="3" s="1"/>
  <c r="K414" i="3"/>
  <c r="Q409" i="3"/>
  <c r="Q315" i="3"/>
  <c r="E34" i="9"/>
  <c r="P153" i="11"/>
  <c r="P128" i="11" s="1"/>
  <c r="O129" i="11"/>
  <c r="O128" i="11" s="1"/>
  <c r="K130" i="11"/>
  <c r="R159" i="11"/>
  <c r="F129" i="11"/>
  <c r="F128" i="11" s="1"/>
  <c r="M101" i="11"/>
  <c r="S102" i="11"/>
  <c r="M77" i="11"/>
  <c r="H48" i="11"/>
  <c r="R49" i="11"/>
  <c r="G105" i="11"/>
  <c r="G55" i="11"/>
  <c r="S69" i="11"/>
  <c r="M26" i="11"/>
  <c r="S26" i="11" s="1"/>
  <c r="I31" i="11"/>
  <c r="S33" i="11"/>
  <c r="F36" i="11"/>
  <c r="E36" i="11"/>
  <c r="R42" i="11"/>
  <c r="H36" i="8"/>
  <c r="Q269" i="3"/>
  <c r="Q253" i="3" s="1"/>
  <c r="Q8" i="3"/>
  <c r="G29" i="7"/>
  <c r="E35" i="9"/>
  <c r="M129" i="11"/>
  <c r="M128" i="11" s="1"/>
  <c r="S152" i="11"/>
  <c r="I137" i="11"/>
  <c r="S137" i="11" s="1"/>
  <c r="S138" i="11"/>
  <c r="P105" i="11"/>
  <c r="P47" i="11" s="1"/>
  <c r="P165" i="11" s="1"/>
  <c r="M105" i="11"/>
  <c r="K118" i="11"/>
  <c r="K77" i="11"/>
  <c r="S78" i="11"/>
  <c r="D55" i="11"/>
  <c r="S32" i="11"/>
  <c r="K23" i="11"/>
  <c r="H11" i="11"/>
  <c r="K147" i="11"/>
  <c r="S147" i="11" s="1"/>
  <c r="S154" i="11"/>
  <c r="G153" i="11"/>
  <c r="G128" i="11" s="1"/>
  <c r="Q77" i="11"/>
  <c r="Q47" i="11" s="1"/>
  <c r="Q165" i="11" s="1"/>
  <c r="D118" i="11"/>
  <c r="D77" i="11"/>
  <c r="S44" i="11"/>
  <c r="I36" i="11"/>
  <c r="O48" i="11"/>
  <c r="O47" i="11" s="1"/>
  <c r="K56" i="11"/>
  <c r="I118" i="11"/>
  <c r="I55" i="11"/>
  <c r="R52" i="11"/>
  <c r="N11" i="11"/>
  <c r="M37" i="11"/>
  <c r="S38" i="11"/>
  <c r="M31" i="11"/>
  <c r="M30" i="11" s="1"/>
  <c r="K36" i="11"/>
  <c r="I11" i="11"/>
  <c r="G11" i="11"/>
  <c r="D36" i="11"/>
  <c r="M56" i="11"/>
  <c r="M55" i="11" s="1"/>
  <c r="L48" i="11"/>
  <c r="I93" i="11"/>
  <c r="G118" i="11"/>
  <c r="F105" i="11"/>
  <c r="F47" i="11" s="1"/>
  <c r="D48" i="11"/>
  <c r="K11" i="11"/>
  <c r="J11" i="11"/>
  <c r="G36" i="11"/>
  <c r="F11" i="11"/>
  <c r="R12" i="11"/>
  <c r="S16" i="11"/>
  <c r="R33" i="11" l="1"/>
  <c r="K440" i="3"/>
  <c r="K24" i="7"/>
  <c r="J56" i="11"/>
  <c r="L56" i="11"/>
  <c r="J31" i="11"/>
  <c r="J30" i="11" s="1"/>
  <c r="K241" i="3"/>
  <c r="K30" i="7"/>
  <c r="R139" i="11"/>
  <c r="K40" i="7"/>
  <c r="R131" i="11"/>
  <c r="R107" i="11"/>
  <c r="R143" i="11"/>
  <c r="L11" i="11"/>
  <c r="R11" i="11" s="1"/>
  <c r="K269" i="3"/>
  <c r="K253" i="3" s="1"/>
  <c r="R32" i="11"/>
  <c r="N31" i="11"/>
  <c r="N30" i="11" s="1"/>
  <c r="N10" i="11" s="1"/>
  <c r="N165" i="11" s="1"/>
  <c r="J106" i="11"/>
  <c r="J105" i="11" s="1"/>
  <c r="R85" i="11"/>
  <c r="R69" i="11"/>
  <c r="R58" i="11"/>
  <c r="J101" i="11"/>
  <c r="J93" i="11" s="1"/>
  <c r="R26" i="11"/>
  <c r="K12" i="7"/>
  <c r="J22" i="11"/>
  <c r="R70" i="11"/>
  <c r="R27" i="11"/>
  <c r="H147" i="11"/>
  <c r="R147" i="11" s="1"/>
  <c r="R149" i="11"/>
  <c r="R84" i="11"/>
  <c r="J78" i="11"/>
  <c r="R24" i="11"/>
  <c r="L31" i="11"/>
  <c r="L30" i="11" s="1"/>
  <c r="J154" i="11"/>
  <c r="R155" i="11"/>
  <c r="L37" i="11"/>
  <c r="L36" i="11" s="1"/>
  <c r="R114" i="11"/>
  <c r="L113" i="11"/>
  <c r="L94" i="11"/>
  <c r="R97" i="11"/>
  <c r="R68" i="11"/>
  <c r="H66" i="11"/>
  <c r="H137" i="11"/>
  <c r="R137" i="11" s="1"/>
  <c r="J141" i="11"/>
  <c r="J129" i="11" s="1"/>
  <c r="R133" i="11"/>
  <c r="K31" i="7"/>
  <c r="R121" i="11"/>
  <c r="J119" i="11"/>
  <c r="J74" i="11"/>
  <c r="R74" i="11" s="1"/>
  <c r="R75" i="11"/>
  <c r="R111" i="11"/>
  <c r="R34" i="11"/>
  <c r="H31" i="11"/>
  <c r="H30" i="11" s="1"/>
  <c r="R17" i="11"/>
  <c r="M22" i="11"/>
  <c r="R90" i="11"/>
  <c r="H89" i="11"/>
  <c r="H37" i="11"/>
  <c r="R38" i="11"/>
  <c r="R102" i="11"/>
  <c r="R35" i="11"/>
  <c r="R152" i="11"/>
  <c r="S106" i="11"/>
  <c r="K33" i="7"/>
  <c r="K44" i="7"/>
  <c r="K22" i="7"/>
  <c r="K10" i="7"/>
  <c r="K43" i="7"/>
  <c r="P220" i="3"/>
  <c r="P141" i="3" s="1"/>
  <c r="K221" i="3"/>
  <c r="K21" i="7"/>
  <c r="K41" i="7"/>
  <c r="P393" i="3"/>
  <c r="P392" i="3" s="1"/>
  <c r="N393" i="3"/>
  <c r="N392" i="3" s="1"/>
  <c r="O393" i="3"/>
  <c r="O392" i="3" s="1"/>
  <c r="K28" i="7"/>
  <c r="K38" i="7"/>
  <c r="K34" i="7"/>
  <c r="Q220" i="3"/>
  <c r="L220" i="3"/>
  <c r="L141" i="3" s="1"/>
  <c r="M393" i="3"/>
  <c r="M392" i="3" s="1"/>
  <c r="N7" i="3"/>
  <c r="K37" i="7"/>
  <c r="K453" i="3"/>
  <c r="M7" i="3"/>
  <c r="K150" i="3"/>
  <c r="K149" i="3" s="1"/>
  <c r="K11" i="7"/>
  <c r="K291" i="3"/>
  <c r="K290" i="3" s="1"/>
  <c r="P7" i="3"/>
  <c r="O7" i="3"/>
  <c r="N141" i="3"/>
  <c r="L393" i="3"/>
  <c r="L392" i="3" s="1"/>
  <c r="Q290" i="3"/>
  <c r="K17" i="7"/>
  <c r="L7" i="3"/>
  <c r="K29" i="7"/>
  <c r="Q393" i="3"/>
  <c r="Q392" i="3" s="1"/>
  <c r="K111" i="3"/>
  <c r="K110" i="3" s="1"/>
  <c r="K394" i="3"/>
  <c r="O141" i="3"/>
  <c r="K22" i="3"/>
  <c r="K409" i="3"/>
  <c r="K25" i="7"/>
  <c r="K62" i="3"/>
  <c r="K61" i="3" s="1"/>
  <c r="M141" i="3"/>
  <c r="Q7" i="3"/>
  <c r="R48" i="11"/>
  <c r="D47" i="11"/>
  <c r="S101" i="11"/>
  <c r="M93" i="11"/>
  <c r="M47" i="11" s="1"/>
  <c r="K129" i="11"/>
  <c r="K128" i="11" s="1"/>
  <c r="E47" i="11"/>
  <c r="S48" i="11"/>
  <c r="O165" i="11"/>
  <c r="G10" i="11"/>
  <c r="M36" i="11"/>
  <c r="S37" i="11"/>
  <c r="K55" i="11"/>
  <c r="S55" i="11" s="1"/>
  <c r="S56" i="11"/>
  <c r="S105" i="11"/>
  <c r="G47" i="11"/>
  <c r="E10" i="11"/>
  <c r="S11" i="11"/>
  <c r="S153" i="11"/>
  <c r="F10" i="11"/>
  <c r="F165" i="11" s="1"/>
  <c r="S118" i="11"/>
  <c r="I129" i="11"/>
  <c r="S23" i="11"/>
  <c r="K22" i="11"/>
  <c r="I30" i="11"/>
  <c r="S30" i="11" s="1"/>
  <c r="S31" i="11"/>
  <c r="R130" i="11"/>
  <c r="I77" i="11"/>
  <c r="S89" i="11"/>
  <c r="S130" i="11"/>
  <c r="R23" i="11"/>
  <c r="D22" i="11"/>
  <c r="K220" i="3" l="1"/>
  <c r="K45" i="7"/>
  <c r="R141" i="11"/>
  <c r="R56" i="11"/>
  <c r="L55" i="11"/>
  <c r="L10" i="11"/>
  <c r="R106" i="11"/>
  <c r="S22" i="11"/>
  <c r="R30" i="11"/>
  <c r="R31" i="11"/>
  <c r="M10" i="11"/>
  <c r="M165" i="11" s="1"/>
  <c r="S36" i="11"/>
  <c r="R101" i="11"/>
  <c r="J10" i="11"/>
  <c r="R154" i="11"/>
  <c r="J153" i="11"/>
  <c r="R153" i="11" s="1"/>
  <c r="H77" i="11"/>
  <c r="R89" i="11"/>
  <c r="J77" i="11"/>
  <c r="R78" i="11"/>
  <c r="H129" i="11"/>
  <c r="H128" i="11" s="1"/>
  <c r="J118" i="11"/>
  <c r="R118" i="11" s="1"/>
  <c r="R119" i="11"/>
  <c r="R94" i="11"/>
  <c r="L93" i="11"/>
  <c r="H36" i="11"/>
  <c r="R37" i="11"/>
  <c r="H55" i="11"/>
  <c r="R66" i="11"/>
  <c r="L105" i="11"/>
  <c r="R105" i="11" s="1"/>
  <c r="R113" i="11"/>
  <c r="J55" i="11"/>
  <c r="K47" i="11"/>
  <c r="S93" i="11"/>
  <c r="Q141" i="3"/>
  <c r="Q482" i="3" s="1"/>
  <c r="O482" i="3"/>
  <c r="K393" i="3"/>
  <c r="K392" i="3" s="1"/>
  <c r="M482" i="3"/>
  <c r="N482" i="3"/>
  <c r="P482" i="3"/>
  <c r="K141" i="3"/>
  <c r="K7" i="3"/>
  <c r="L482" i="3"/>
  <c r="I128" i="11"/>
  <c r="S128" i="11" s="1"/>
  <c r="S129" i="11"/>
  <c r="I10" i="11"/>
  <c r="R22" i="11"/>
  <c r="D10" i="11"/>
  <c r="S77" i="11"/>
  <c r="I47" i="11"/>
  <c r="G165" i="11"/>
  <c r="K10" i="11"/>
  <c r="E165" i="11"/>
  <c r="K482" i="3" l="1"/>
  <c r="R129" i="11"/>
  <c r="J128" i="11"/>
  <c r="R128" i="11" s="1"/>
  <c r="J47" i="11"/>
  <c r="R77" i="11"/>
  <c r="R55" i="11"/>
  <c r="H47" i="11"/>
  <c r="L47" i="11"/>
  <c r="L165" i="11" s="1"/>
  <c r="R93" i="11"/>
  <c r="H10" i="11"/>
  <c r="R36" i="11"/>
  <c r="S47" i="11"/>
  <c r="K165" i="11"/>
  <c r="I165" i="11"/>
  <c r="S10" i="11"/>
  <c r="D165" i="11"/>
  <c r="S165" i="11" l="1"/>
  <c r="J165" i="11"/>
  <c r="H165" i="11"/>
  <c r="R10" i="11"/>
  <c r="R47" i="11"/>
  <c r="R165" i="11" l="1"/>
</calcChain>
</file>

<file path=xl/sharedStrings.xml><?xml version="1.0" encoding="utf-8"?>
<sst xmlns="http://schemas.openxmlformats.org/spreadsheetml/2006/main" count="9002" uniqueCount="1885">
  <si>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</si>
  <si>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</si>
  <si>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</si>
  <si>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</si>
  <si>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</si>
  <si>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</si>
  <si>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</si>
  <si>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</si>
  <si>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</si>
  <si>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</si>
  <si>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</si>
  <si>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</si>
  <si>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</si>
  <si>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</si>
  <si>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</si>
  <si>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</si>
  <si>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</si>
  <si>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</si>
  <si>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</si>
  <si>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</si>
  <si>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</si>
  <si>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</si>
  <si>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</si>
  <si>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</si>
  <si>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</si>
  <si>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</si>
  <si>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</si>
  <si>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</si>
  <si>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</si>
  <si>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</si>
  <si>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</si>
  <si>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</si>
  <si>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</si>
  <si>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</si>
  <si>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</si>
  <si>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</si>
  <si>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</si>
  <si>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</si>
  <si>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</si>
  <si>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</si>
  <si>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Raseinių rajono gyventojų sveikatos stiprinimas, gerinant sveikatos priežiūros prieinamumą</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</si>
  <si>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</si>
  <si>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</si>
  <si>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</si>
  <si>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</si>
  <si>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</si>
  <si>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</si>
  <si>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</si>
  <si>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</si>
  <si>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</si>
  <si>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</si>
  <si>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</si>
  <si>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</si>
  <si>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</si>
  <si>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</si>
  <si>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</si>
  <si>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</si>
  <si>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</si>
  <si>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</si>
  <si>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</si>
  <si>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</si>
  <si>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</si>
  <si>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</si>
  <si>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</si>
  <si>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</si>
  <si>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Kėdainių miesto J. Basanavičiaus, Birutės, Dotnuvos ir Kauno gatvių rekonstrukcija</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</si>
  <si>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</si>
  <si>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</si>
  <si>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</si>
  <si>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</si>
  <si>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</si>
  <si>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</si>
  <si>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</si>
  <si>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</si>
  <si>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</si>
  <si>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2014.04</t>
  </si>
  <si>
    <t>2013.12</t>
  </si>
  <si>
    <t>2014.05</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</si>
  <si>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</si>
  <si>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</si>
  <si>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</si>
  <si>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</si>
  <si>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</si>
  <si>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</si>
  <si>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</si>
  <si>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</si>
  <si>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</si>
  <si>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</si>
  <si>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</si>
  <si>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</si>
  <si>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</si>
  <si>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</si>
  <si>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</si>
  <si>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</si>
  <si>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</si>
  <si>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</si>
  <si>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2019.10</t>
  </si>
  <si>
    <t>Vandens tiekimo ir nuotekų tvarkymo infrastruktūros plėtra Raseinių rajone (Šiluvoje)</t>
  </si>
  <si>
    <t>3.1.2.2.24</t>
  </si>
  <si>
    <t>Vandens tiekimo ir nuotekų tvarkymo infrastruktūros plėtra Raseinių rajone (Betygaloje, Girkalnyje, Viduklėje)</t>
  </si>
  <si>
    <t>2012.12</t>
  </si>
  <si>
    <t>2013.10</t>
  </si>
  <si>
    <t>2015.07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</si>
  <si>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</si>
  <si>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</si>
  <si>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</si>
  <si>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</si>
  <si>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</si>
  <si>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</si>
  <si>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</si>
  <si>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</si>
  <si>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</si>
  <si>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</si>
  <si>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</si>
  <si>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</si>
  <si>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</si>
  <si>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</si>
  <si>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</si>
  <si>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</si>
  <si>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</si>
  <si>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</si>
  <si>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</si>
  <si>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</si>
  <si>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</si>
  <si>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2013.07</t>
  </si>
  <si>
    <t>05.3.2-APVA-V-013</t>
  </si>
  <si>
    <t>P.B.222</t>
  </si>
  <si>
    <t>Kauno valstybinio lėlių teatro modernizavimas</t>
  </si>
  <si>
    <t xml:space="preserve">Pagerinti VšĮ Jonavos PSPC teikiamų vaikų ligų, vyresnio amžiaus ligų  ir sveiko senėjimo srityse Jonavos rajono savivaldybės gyventojų ligų profilaktikos, prevencijos ir ankstyvosios diagnostikos paslaugų kokybę ir prieinamumą
</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</si>
  <si>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</si>
  <si>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</si>
  <si>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</si>
  <si>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</si>
  <si>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</si>
  <si>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</si>
  <si>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</si>
  <si>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</si>
  <si>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</si>
  <si>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</si>
  <si>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</si>
  <si>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</si>
  <si>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</si>
  <si>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</si>
  <si>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</si>
  <si>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</si>
  <si>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</si>
  <si>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</si>
  <si>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</si>
  <si>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</si>
  <si>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</si>
  <si>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</si>
  <si>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</si>
  <si>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</si>
  <si>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</si>
  <si>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</si>
  <si>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</si>
  <si>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</si>
  <si>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</si>
  <si>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</si>
  <si>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</si>
  <si>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</si>
  <si>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</si>
  <si>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2019.11</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</si>
  <si>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</si>
  <si>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</si>
  <si>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</si>
  <si>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</si>
  <si>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</si>
  <si>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</si>
  <si>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</si>
  <si>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</si>
  <si>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</si>
  <si>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</si>
  <si>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</si>
  <si>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</si>
  <si>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</si>
  <si>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</si>
  <si>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</si>
  <si>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</si>
  <si>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</si>
  <si>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</si>
  <si>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</si>
  <si>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</si>
  <si>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</si>
  <si>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</si>
  <si>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</si>
  <si>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</si>
  <si>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</si>
  <si>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</si>
  <si>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</si>
  <si>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</si>
  <si>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</si>
  <si>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</si>
  <si>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</si>
  <si>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</si>
  <si>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</si>
  <si>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</si>
  <si>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</si>
  <si>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</si>
  <si>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</si>
  <si>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</si>
  <si>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</si>
  <si>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</si>
  <si>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</si>
  <si>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</si>
  <si>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</si>
  <si>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</si>
  <si>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</si>
  <si>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</si>
  <si>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</si>
  <si>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</si>
  <si>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</si>
  <si>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</si>
  <si>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</si>
  <si>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</si>
  <si>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</si>
  <si>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</si>
  <si>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</si>
  <si>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</si>
  <si>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Viešojo logistikos centro steigimas ir plėtra, infrastruktūros sukūrimas</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</si>
  <si>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</si>
  <si>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</si>
  <si>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</si>
  <si>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</si>
  <si>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</si>
  <si>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</si>
  <si>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</si>
  <si>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</si>
  <si>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</si>
  <si>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</si>
  <si>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</si>
  <si>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</si>
  <si>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</si>
  <si>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</si>
  <si>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</si>
  <si>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2.1.1.1.</t>
  </si>
  <si>
    <t>2.1.1.2.</t>
  </si>
  <si>
    <t>2.1.2.1.</t>
  </si>
  <si>
    <t>2.1.2.2.</t>
  </si>
  <si>
    <t xml:space="preserve">Priemonė: Viešųjų interneto prieigos taškų tinklo plėtra ir viešosios interneto infrastruktūros naudojimo skatinimas </t>
  </si>
  <si>
    <t xml:space="preserve">Priemonė: Elektroninių paslaugų sistemos bibliotekose plėtra </t>
  </si>
  <si>
    <t>Priemonė: Elektroninių darbo organizavimo ir procesų valdymo priemonių diegimas, prijungimas prie miesto duomenų mainų tinklo, bendrų duomenų tinklų sukūrimas savivaldybėse ir įstaigose, priklausančiose savivaldybės reguliavimo sričiai</t>
  </si>
  <si>
    <t>Priemonė: E.paslaugų gyventojams diegimas ir plėtra Kauno regione</t>
  </si>
  <si>
    <t>2.2.1.1.</t>
  </si>
  <si>
    <t>2.2.1.2.</t>
  </si>
  <si>
    <t>2.2.1.3.</t>
  </si>
  <si>
    <t>2.2.1.4.</t>
  </si>
  <si>
    <t>2.2.1.5.</t>
  </si>
  <si>
    <t>Priemonė: Bendrojo lavinimo sistemos modernizavimas</t>
  </si>
  <si>
    <t xml:space="preserve">Priemonė: Ugdymo aplinkų modernizavimas </t>
  </si>
  <si>
    <t xml:space="preserve">Priemonė: eŠvietimo sistemos plėtra  </t>
  </si>
  <si>
    <t xml:space="preserve">Priemonė: Švietimo, profesinio rengimo, mokslo ir studijų prieinamumo didinimas </t>
  </si>
  <si>
    <t>Priemonė: Iškritusių iš mokyklos mokinių grąžinimas į švietimo sistemą</t>
  </si>
  <si>
    <t>2.2.1.6.</t>
  </si>
  <si>
    <t>2.2.1.7.</t>
  </si>
  <si>
    <t>2.2.1.8.</t>
  </si>
  <si>
    <t>2.2.1.9</t>
  </si>
  <si>
    <t xml:space="preserve">Priemonė: Švietimo centrų infrastruktūros plėtra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</si>
  <si>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</si>
  <si>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</si>
  <si>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</si>
  <si>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</si>
  <si>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</si>
  <si>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</si>
  <si>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</si>
  <si>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</si>
  <si>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P.S. 318</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</si>
  <si>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</si>
  <si>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</si>
  <si>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</si>
  <si>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</si>
  <si>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</si>
  <si>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</si>
  <si>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</si>
  <si>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</si>
  <si>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</si>
  <si>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</si>
  <si>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</si>
  <si>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</si>
  <si>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</si>
  <si>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</si>
  <si>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</si>
  <si>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</si>
  <si>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</si>
  <si>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</si>
  <si>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</si>
  <si>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</si>
  <si>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</si>
  <si>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</si>
  <si>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</si>
  <si>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</si>
  <si>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</si>
  <si>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</si>
  <si>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</si>
  <si>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</si>
  <si>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</si>
  <si>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</si>
  <si>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</si>
  <si>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</si>
  <si>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</si>
  <si>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</si>
  <si>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</si>
  <si>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</si>
  <si>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05.6.1-APVA-R-020</t>
  </si>
  <si>
    <t>05.6.1-APVA-R-021</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</si>
  <si>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</si>
  <si>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</si>
  <si>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</si>
  <si>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</si>
  <si>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</si>
  <si>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</si>
  <si>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</si>
  <si>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</si>
  <si>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</si>
  <si>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</si>
  <si>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</si>
  <si>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</si>
  <si>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</si>
  <si>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</si>
  <si>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</si>
  <si>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</si>
  <si>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</si>
  <si>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</si>
  <si>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</si>
  <si>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</si>
  <si>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</si>
  <si>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</si>
  <si>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</si>
  <si>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</si>
  <si>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</si>
  <si>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</si>
  <si>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</si>
  <si>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</si>
  <si>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</si>
  <si>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</si>
  <si>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</si>
  <si>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</si>
  <si>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Darnaus judumo Kauno mieste plano parengimas</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</si>
  <si>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</si>
  <si>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</si>
  <si>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</si>
  <si>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</si>
  <si>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</si>
  <si>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</si>
  <si>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</si>
  <si>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</si>
  <si>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</si>
  <si>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</si>
  <si>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</si>
  <si>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</si>
  <si>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</si>
  <si>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autobusų stoties ir keleivių vežimo transporto infrastruktūros (automobilių stovėjimo ir autobusų sustojimo aikštelių, privažiuojamųjų kelių, pėsčiųjų takų) Vilniaus g. 87, Raseiniai, statyba ir modernizavimas</t>
  </si>
  <si>
    <t>Raseinių miesto prekyvietės ir viešųjų erdvių modernizavimas (Vytauto Didžiojo g., Žemaitės g., V. Grybo g. ir Algirdo g.)</t>
  </si>
  <si>
    <t>Garliavos miesto K. Aglinsko g. rekonstrukcija</t>
  </si>
  <si>
    <t>Eismo saugumo priemonių diegimas kelio Nr. A16 Vilnius-Prienai-Marijampolė atkarpoje, esančioje Prienų miesto teritorijoje</t>
  </si>
  <si>
    <t>Kaišiadorių miesto V. Kudirkos, Maironio ir J. Basanavičiaus gatvių rekonstravimas</t>
  </si>
  <si>
    <t>Jonavos rajono savivaldybės kultūros centro didžiosios salės atnaujinimas</t>
  </si>
  <si>
    <t>Kėdainių r. savivaldybės pastato Didžiosios rinkos a. 4, Kėdainiuose rekonstravimas, įrengiant M. Daukšos bibliotekos vaikų ir jaunimo skyrių</t>
  </si>
  <si>
    <t>2.6.1.4.</t>
  </si>
  <si>
    <t>2.6.1.3.</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</si>
  <si>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</si>
  <si>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UAB „Raseinių vandenys“ valdymo tobulinimas.</t>
  </si>
  <si>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</si>
  <si>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</si>
  <si>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</si>
  <si>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</si>
  <si>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</si>
  <si>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</si>
  <si>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</si>
  <si>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</si>
  <si>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</si>
  <si>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</si>
  <si>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</si>
  <si>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</si>
  <si>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</si>
  <si>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</si>
  <si>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</si>
  <si>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</si>
  <si>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</si>
  <si>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</si>
  <si>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</si>
  <si>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</si>
  <si>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</si>
  <si>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</si>
  <si>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</si>
  <si>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</si>
  <si>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</si>
  <si>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</si>
  <si>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</si>
  <si>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</si>
  <si>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</si>
  <si>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</si>
  <si>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</si>
  <si>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</si>
  <si>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</si>
  <si>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</si>
  <si>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</si>
  <si>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</si>
  <si>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2.4.2.1.1</t>
  </si>
  <si>
    <t>VšĮ Pakaunės pirminės sveikatos priežiūros centro Ambulatorinių paslaugų infrastuktūros plėtros bei optimizavimo</t>
  </si>
  <si>
    <t>VšĮ Pakaunės pirminės sveikatos priežiūros centras</t>
  </si>
  <si>
    <t>SAM</t>
  </si>
  <si>
    <t>2.4.2.1.2</t>
  </si>
  <si>
    <t>VšĮ Vilkijos pirminės sveikatos priežiūros centro infrastuktūros modernizavimo</t>
  </si>
  <si>
    <t>VšĮ Vilkijos pirminės sveikatos priežiūros centras</t>
  </si>
  <si>
    <t>2.4.2.1.3</t>
  </si>
  <si>
    <t>Viešosios įstaigos Garliavos pirminės sveikatos priežiūros centras sveikatos priežiūros paslaugų kokybės gerinimas, modernizuojant įstaigos infrastruktūrą</t>
  </si>
  <si>
    <t>VšĮ  Garliavos pirminės sveikatos priežiūros centras</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</si>
  <si>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</si>
  <si>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</si>
  <si>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</si>
  <si>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</si>
  <si>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</si>
  <si>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</si>
  <si>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</si>
  <si>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</si>
  <si>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</si>
  <si>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</si>
  <si>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</si>
  <si>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</si>
  <si>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</si>
  <si>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</si>
  <si>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</si>
  <si>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</si>
  <si>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</si>
  <si>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</si>
  <si>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</si>
  <si>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</si>
  <si>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</si>
  <si>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</si>
  <si>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</si>
  <si>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</si>
  <si>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</si>
  <si>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</si>
  <si>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</si>
  <si>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</si>
  <si>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</si>
  <si>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</si>
  <si>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</si>
  <si>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</si>
  <si>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</si>
  <si>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</si>
  <si>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</si>
  <si>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</si>
  <si>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</si>
  <si>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</si>
  <si>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</si>
  <si>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</si>
  <si>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</si>
  <si>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</si>
  <si>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</si>
  <si>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</si>
  <si>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</si>
  <si>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</si>
  <si>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</si>
  <si>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</si>
  <si>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</si>
  <si>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</si>
  <si>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</si>
  <si>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R029904-310000-0002</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</si>
  <si>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</si>
  <si>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</si>
  <si>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</si>
  <si>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</si>
  <si>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</si>
  <si>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</si>
  <si>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</si>
  <si>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</si>
  <si>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</si>
  <si>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</si>
  <si>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</si>
  <si>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</si>
  <si>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</si>
  <si>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</si>
  <si>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</si>
  <si>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</si>
  <si>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</si>
  <si>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</si>
  <si>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</si>
  <si>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</si>
  <si>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</si>
  <si>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</si>
  <si>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</si>
  <si>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</si>
  <si>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</si>
  <si>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</si>
  <si>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</si>
  <si>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</si>
  <si>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R025000-290000-0001</t>
  </si>
  <si>
    <t>R029905-300000-0021</t>
  </si>
  <si>
    <t>R025511-120000-0001</t>
  </si>
  <si>
    <t>R025511-120000-0002</t>
  </si>
  <si>
    <t>R025511-120000-0003</t>
  </si>
  <si>
    <t>R025511-120000-0004</t>
  </si>
  <si>
    <t>R025514-120000-0001</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</si>
  <si>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</si>
  <si>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</si>
  <si>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</si>
  <si>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</si>
  <si>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</si>
  <si>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</si>
  <si>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</si>
  <si>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</si>
  <si>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</si>
  <si>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</si>
  <si>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</si>
  <si>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</si>
  <si>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</si>
  <si>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</si>
  <si>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</si>
  <si>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</si>
  <si>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</si>
  <si>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</si>
  <si>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</si>
  <si>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</si>
  <si>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</si>
  <si>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</si>
  <si>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</si>
  <si>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</si>
  <si>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</si>
  <si>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</si>
  <si>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</si>
  <si>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</si>
  <si>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</si>
  <si>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</si>
  <si>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</si>
  <si>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</si>
  <si>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</si>
  <si>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</si>
  <si>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</si>
  <si>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</si>
  <si>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</si>
  <si>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</si>
  <si>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</si>
  <si>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</si>
  <si>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</si>
  <si>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</si>
  <si>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</si>
  <si>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</si>
  <si>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</si>
  <si>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</si>
  <si>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</si>
  <si>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</si>
  <si>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</si>
  <si>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</si>
  <si>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</si>
  <si>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</si>
  <si>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R029904-280000-0008</t>
  </si>
  <si>
    <t>R029904-320000-0009</t>
  </si>
  <si>
    <t>R029904-320000-0010</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</si>
  <si>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</si>
  <si>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</si>
  <si>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</si>
  <si>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</si>
  <si>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</si>
  <si>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</si>
  <si>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</si>
  <si>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</si>
  <si>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</si>
  <si>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</si>
  <si>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</si>
  <si>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</si>
  <si>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</si>
  <si>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</si>
  <si>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</si>
  <si>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</si>
  <si>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</si>
  <si>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</si>
  <si>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</si>
  <si>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</si>
  <si>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</si>
  <si>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</si>
  <si>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</si>
  <si>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</si>
  <si>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</si>
  <si>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</si>
  <si>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R027000-220000-0006</t>
  </si>
  <si>
    <t>R027000-220000-0007</t>
  </si>
  <si>
    <t>R027724-220000-0007</t>
  </si>
  <si>
    <t>R027724-220000-0008</t>
  </si>
  <si>
    <t>R027724-220000-0009</t>
  </si>
  <si>
    <t>R027705-230000-0012</t>
  </si>
  <si>
    <t>R027705-230000-0013</t>
  </si>
  <si>
    <t>R020014-500000-0001</t>
  </si>
  <si>
    <t>R029920-490000-0001</t>
  </si>
  <si>
    <t>R029920-490000-0002</t>
  </si>
  <si>
    <t>R029920-490000-0003</t>
  </si>
  <si>
    <t>R029920-490000-0004</t>
  </si>
  <si>
    <t>R029920-490000-0005</t>
  </si>
  <si>
    <t>R027725-500000-0001</t>
  </si>
  <si>
    <t>R027725-240000-0002</t>
  </si>
  <si>
    <t>R027725-240000-0003</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</si>
  <si>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</si>
  <si>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</si>
  <si>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</si>
  <si>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</si>
  <si>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</si>
  <si>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</si>
  <si>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</si>
  <si>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</si>
  <si>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</si>
  <si>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</si>
  <si>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</si>
  <si>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</si>
  <si>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</si>
  <si>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</si>
  <si>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</si>
  <si>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</si>
  <si>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</si>
  <si>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</si>
  <si>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</si>
  <si>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</si>
  <si>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</si>
  <si>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</si>
  <si>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</si>
  <si>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</si>
  <si>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</si>
  <si>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</si>
  <si>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</si>
  <si>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</si>
  <si>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</si>
  <si>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</si>
  <si>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</si>
  <si>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R026000-324750-0001</t>
  </si>
  <si>
    <t>R026000-324750-0002</t>
  </si>
  <si>
    <t>R026000-324750-0003</t>
  </si>
  <si>
    <t>R026609-320000-0001</t>
  </si>
  <si>
    <t>R026609-320000-0002</t>
  </si>
  <si>
    <t>R026000-320000-0004</t>
  </si>
  <si>
    <t>R026000-320000-0005</t>
  </si>
  <si>
    <t>R026609-500000-0003</t>
  </si>
  <si>
    <t>R026609-500000-0004</t>
  </si>
  <si>
    <t>R026609-470000-0005</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</si>
  <si>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</si>
  <si>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</si>
  <si>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</si>
  <si>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</si>
  <si>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</si>
  <si>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</si>
  <si>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</si>
  <si>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</si>
  <si>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</si>
  <si>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</si>
  <si>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</si>
  <si>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</si>
  <si>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</si>
  <si>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</si>
  <si>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</si>
  <si>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</si>
  <si>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</si>
  <si>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</si>
  <si>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</si>
  <si>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</si>
  <si>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</si>
  <si>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</si>
  <si>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</si>
  <si>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</si>
  <si>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</si>
  <si>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</si>
  <si>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</si>
  <si>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</si>
  <si>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</si>
  <si>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</si>
  <si>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</si>
  <si>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</si>
  <si>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</si>
  <si>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</si>
  <si>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</si>
  <si>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</si>
  <si>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</si>
  <si>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</si>
  <si>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</si>
  <si>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</si>
  <si>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</si>
  <si>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</si>
  <si>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</si>
  <si>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</si>
  <si>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</si>
  <si>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</si>
  <si>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</si>
  <si>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</si>
  <si>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</si>
  <si>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</si>
  <si>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</si>
  <si>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</si>
  <si>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</si>
  <si>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</si>
  <si>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</si>
  <si>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</si>
  <si>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</si>
  <si>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</si>
  <si>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</si>
  <si>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</si>
  <si>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</si>
  <si>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</si>
  <si>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</si>
  <si>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</si>
  <si>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</si>
  <si>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</si>
  <si>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</si>
  <si>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</si>
  <si>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</si>
  <si>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</si>
  <si>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</si>
  <si>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</si>
  <si>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</si>
  <si>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</si>
  <si>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</si>
  <si>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</si>
  <si>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</si>
  <si>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</si>
  <si>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</si>
  <si>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</si>
  <si>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</si>
  <si>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</si>
  <si>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</si>
  <si>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</si>
  <si>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</si>
  <si>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</si>
  <si>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</si>
  <si>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</si>
  <si>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</si>
  <si>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</si>
  <si>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</si>
  <si>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R020014-070000-0006</t>
  </si>
  <si>
    <t>R020014-070000-0007</t>
  </si>
  <si>
    <t>R020014-070000-0008</t>
  </si>
  <si>
    <t>R020014-070000-0009</t>
  </si>
  <si>
    <t>R020014-070000-0010</t>
  </si>
  <si>
    <t>R020014-070000-0011</t>
  </si>
  <si>
    <t>R020014-070600-0012</t>
  </si>
  <si>
    <t>R020014-060000-0013</t>
  </si>
  <si>
    <t>R020014-060000-0014</t>
  </si>
  <si>
    <t>R020014-060000-0015</t>
  </si>
  <si>
    <t>R020014-060000-0016</t>
  </si>
  <si>
    <t>R020014-070600-0017</t>
  </si>
  <si>
    <t>R020014-060750-0018</t>
  </si>
  <si>
    <t>R020014-070600-0019</t>
  </si>
  <si>
    <t>R020014-070600-0020</t>
  </si>
  <si>
    <t>R020013-070600-0001</t>
  </si>
  <si>
    <t>R020014-060750-0021</t>
  </si>
  <si>
    <t>R020014-060700-0022</t>
  </si>
  <si>
    <t>R020014-060750-0023</t>
  </si>
  <si>
    <t>R020014-060000-0024</t>
  </si>
  <si>
    <t>R020014-070000-0025</t>
  </si>
  <si>
    <t>R020014-060000-0026</t>
  </si>
  <si>
    <t>R020013-070600-0002</t>
  </si>
  <si>
    <t>R021102-500000-0001</t>
  </si>
  <si>
    <t>R021102-500000-0002</t>
  </si>
  <si>
    <t>R020000-500000-0001</t>
  </si>
  <si>
    <t>R020000-500000-0002</t>
  </si>
  <si>
    <t>R020000-500000-0003</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</si>
  <si>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</si>
  <si>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</si>
  <si>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</si>
  <si>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</si>
  <si>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</si>
  <si>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</si>
  <si>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</si>
  <si>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</si>
  <si>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</si>
  <si>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</si>
  <si>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</si>
  <si>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</si>
  <si>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</si>
  <si>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</si>
  <si>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</si>
  <si>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</si>
  <si>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</si>
  <si>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</si>
  <si>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</si>
  <si>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</si>
  <si>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</si>
  <si>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</si>
  <si>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</si>
  <si>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</si>
  <si>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</si>
  <si>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3.1.2.2.2</t>
  </si>
  <si>
    <t>3.1.2.2.3</t>
  </si>
  <si>
    <t>3.1.2.2.4</t>
  </si>
  <si>
    <t>3.1.2.2.5</t>
  </si>
  <si>
    <t>3.1.2.2.6</t>
  </si>
  <si>
    <t>3.1.2.2.7</t>
  </si>
  <si>
    <t>Netonių k. vandens gerinimo įrenginių statyba</t>
  </si>
  <si>
    <t>3.1.2.2.8</t>
  </si>
  <si>
    <t>3.1.2.2.9</t>
  </si>
  <si>
    <t>3.1.2.2.10</t>
  </si>
  <si>
    <t>3.1.2.2.11</t>
  </si>
  <si>
    <t>3.1.2.2.12</t>
  </si>
  <si>
    <t>Voškonių k. vandens tiekimo ir nuotekų tvarkymo infrastruktūros plėtra</t>
  </si>
  <si>
    <t>3.1.2.2.13</t>
  </si>
  <si>
    <t>3.1.2.2.14</t>
  </si>
  <si>
    <t>3.1.2.2.15</t>
  </si>
  <si>
    <t>3.1.2.2.16</t>
  </si>
  <si>
    <t>3.1.2.2.17</t>
  </si>
  <si>
    <t>3.1.2.2.18</t>
  </si>
  <si>
    <t>3.1.2.2.19</t>
  </si>
  <si>
    <t>rez.</t>
  </si>
  <si>
    <t>Vilkijos nuotekų valymo įrenginių rekonstrukcija</t>
  </si>
  <si>
    <t>3.1.4.2.1</t>
  </si>
  <si>
    <t>3.1.4.2.2</t>
  </si>
  <si>
    <t>2.2.2.2.8</t>
  </si>
  <si>
    <t>Jonavos Jeronimo Ralio gimnazijos atnaujinimas</t>
  </si>
  <si>
    <t>2016.10</t>
  </si>
  <si>
    <t>2016.04</t>
  </si>
  <si>
    <t>Priemonė:  Neįgaliųjų socialinė integracija, taip pat apimanti reikiamos infrastruktūros modernizavimą ir sukūrimą</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</si>
  <si>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</si>
  <si>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</si>
  <si>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</si>
  <si>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</si>
  <si>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</si>
  <si>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</si>
  <si>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</si>
  <si>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</si>
  <si>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</si>
  <si>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</si>
  <si>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</si>
  <si>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</si>
  <si>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</si>
  <si>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</si>
  <si>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</si>
  <si>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</si>
  <si>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2.2.3.1.1</t>
  </si>
  <si>
    <t>2.2.4.1.1</t>
  </si>
  <si>
    <t>2.3.1.7.1</t>
  </si>
  <si>
    <t>Socialinio būsto plėtra Raseinių rajono savivaldybėje</t>
  </si>
  <si>
    <t>2.4.1.3.1</t>
  </si>
  <si>
    <t>Raseinių rajono gyventojų sveikatos stiprinimas, gerinant sveikatos priežiūros paslaugų prieinamumą</t>
  </si>
  <si>
    <t>Raseinių r. sav. palaikomojo gydymo ir slaugos paslaugų plėtra viešojoje įstaigoje Ariogalos pirminės sveikatos priežiūros centre (Vytauto g. 96, Ariogala)</t>
  </si>
  <si>
    <t>2.5.1.5.1</t>
  </si>
  <si>
    <t>Viduklės miestelio bendruomeninės infrastruktūros gerinimas</t>
  </si>
  <si>
    <t>Ariogalos miesto bendruomeninės infrastruktūros gerinimas</t>
  </si>
  <si>
    <t xml:space="preserve">UAB "Raseinių vandenys" </t>
  </si>
  <si>
    <t>Magistralinių  nuotekų tinklų tiesimas ir valymo įrenginių statyba Raseinių r. sav., Nemakščių sen., Nemakščių mstl.</t>
  </si>
  <si>
    <t>3.1.3.2.1</t>
  </si>
  <si>
    <t xml:space="preserve"> Raseinių rajono centralizuoto šilumos tiekimo tinklų modernizavimas, diegiant šiuolaikines technologijas. IV etapas.</t>
  </si>
  <si>
    <t>UAB "Raseinių šilumos tinklai"</t>
  </si>
  <si>
    <t>ENM</t>
  </si>
  <si>
    <t>3.1.3.2.3</t>
  </si>
  <si>
    <t xml:space="preserve">Viduklės mstl. katilinės rekonstrukcija pastatant 1.3 MW katilą, </t>
  </si>
  <si>
    <t>3.1.3.2.4</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</si>
  <si>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</si>
  <si>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</si>
  <si>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</si>
  <si>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</si>
  <si>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</si>
  <si>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</si>
  <si>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</si>
  <si>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</si>
  <si>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</si>
  <si>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</si>
  <si>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</si>
  <si>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</si>
  <si>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</si>
  <si>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</si>
  <si>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</si>
  <si>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</si>
  <si>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</si>
  <si>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</si>
  <si>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</si>
  <si>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</si>
  <si>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</si>
  <si>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 xml:space="preserve">Pirminės sveikatos priežiūros paslaugų neįgaliesiems ir vyresnio amžiaus asmenims kokybės ir prieinamumo gerinimas VšĮ Kauno Centro poliklinikoje </t>
  </si>
  <si>
    <t>Viešosios įstaigos Kauno Kalniečių poliklinikos efektyvios ir kokybiškos sveikatos priežiūros prieinamumo gerinimas neįgaliesiems ir vyresnio amžiaus žmonėms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</si>
  <si>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</si>
  <si>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</si>
  <si>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</si>
  <si>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</si>
  <si>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</si>
  <si>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</si>
  <si>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</si>
  <si>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</si>
  <si>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</si>
  <si>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</si>
  <si>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</si>
  <si>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</si>
  <si>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</si>
  <si>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</si>
  <si>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</si>
  <si>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</si>
  <si>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</si>
  <si>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</si>
  <si>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</si>
  <si>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</si>
  <si>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</si>
  <si>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</si>
  <si>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</si>
  <si>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</si>
  <si>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</si>
  <si>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</si>
  <si>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</si>
  <si>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</si>
  <si>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</si>
  <si>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</si>
  <si>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</si>
  <si>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</si>
  <si>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</si>
  <si>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</si>
  <si>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</si>
  <si>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</si>
  <si>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2.2.4.1.3</t>
  </si>
  <si>
    <t>2.2.4.1.4</t>
  </si>
  <si>
    <t>2.2.4.1.5</t>
  </si>
  <si>
    <t>2.3.1.7.2</t>
  </si>
  <si>
    <t>2.3.1.7.3</t>
  </si>
  <si>
    <t>2.3.2.3.2</t>
  </si>
  <si>
    <t>2.4.1.3.2</t>
  </si>
  <si>
    <t>2.4.2.1.4</t>
  </si>
  <si>
    <t>2.4.2.1.5</t>
  </si>
  <si>
    <t>2.4.2.1.6</t>
  </si>
  <si>
    <t>2.4.2.1.7</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</si>
  <si>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</si>
  <si>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</si>
  <si>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</si>
  <si>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</si>
  <si>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</si>
  <si>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</si>
  <si>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</si>
  <si>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</si>
  <si>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</si>
  <si>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</si>
  <si>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</si>
  <si>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</si>
  <si>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</si>
  <si>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</si>
  <si>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</si>
  <si>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</si>
  <si>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</si>
  <si>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</si>
  <si>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</si>
  <si>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</si>
  <si>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</si>
  <si>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</si>
  <si>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</si>
  <si>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</si>
  <si>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3.1.3.2.5</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</si>
  <si>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</si>
  <si>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</si>
  <si>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</si>
  <si>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</si>
  <si>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</si>
  <si>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</si>
  <si>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</si>
  <si>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</si>
  <si>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</si>
  <si>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</si>
  <si>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</si>
  <si>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</si>
  <si>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</si>
  <si>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</si>
  <si>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</si>
  <si>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</si>
  <si>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</si>
  <si>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</si>
  <si>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</si>
  <si>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</si>
  <si>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</si>
  <si>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1.2.2.2</t>
  </si>
  <si>
    <t>1.2.2.3</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</si>
  <si>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</si>
  <si>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</si>
  <si>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</si>
  <si>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</si>
  <si>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</si>
  <si>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</si>
  <si>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</si>
  <si>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</si>
  <si>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</si>
  <si>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</si>
  <si>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</si>
  <si>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</si>
  <si>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</si>
  <si>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</si>
  <si>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</si>
  <si>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</si>
  <si>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</si>
  <si>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</si>
  <si>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</si>
  <si>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</si>
  <si>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</si>
  <si>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</si>
  <si>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</si>
  <si>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1.2.2.1.22</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</si>
  <si>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</si>
  <si>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</si>
  <si>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</si>
  <si>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</si>
  <si>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</si>
  <si>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</si>
  <si>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</si>
  <si>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</si>
  <si>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</si>
  <si>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</si>
  <si>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</si>
  <si>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</si>
  <si>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</si>
  <si>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</si>
  <si>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</si>
  <si>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</si>
  <si>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</si>
  <si>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</si>
  <si>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</si>
  <si>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</si>
  <si>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</si>
  <si>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</si>
  <si>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</si>
  <si>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</si>
  <si>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</si>
  <si>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</si>
  <si>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</si>
  <si>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</si>
  <si>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</si>
  <si>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</si>
  <si>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</si>
  <si>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</si>
  <si>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</si>
  <si>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</si>
  <si>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</si>
  <si>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</si>
  <si>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</si>
  <si>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</si>
  <si>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</si>
  <si>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</si>
  <si>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</si>
  <si>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</si>
  <si>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</si>
  <si>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</si>
  <si>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</si>
  <si>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</si>
  <si>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</si>
  <si>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</si>
  <si>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</si>
  <si>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</si>
  <si>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</si>
  <si>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</si>
  <si>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</si>
  <si>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</si>
  <si>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</si>
  <si>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</si>
  <si>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</si>
  <si>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</si>
  <si>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</si>
  <si>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</si>
  <si>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</si>
  <si>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</si>
  <si>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</si>
  <si>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</si>
  <si>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</si>
  <si>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</si>
  <si>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</si>
  <si>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</si>
  <si>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</si>
  <si>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</si>
  <si>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</si>
  <si>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</si>
  <si>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</si>
  <si>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</si>
  <si>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</si>
  <si>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</si>
  <si>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</si>
  <si>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</si>
  <si>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</si>
  <si>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</si>
  <si>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</si>
  <si>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</si>
  <si>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</si>
  <si>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</si>
  <si>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</si>
  <si>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</si>
  <si>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</si>
  <si>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</si>
  <si>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</si>
  <si>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</si>
  <si>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</si>
  <si>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</si>
  <si>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</si>
  <si>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</si>
  <si>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</si>
  <si>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</si>
  <si>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</si>
  <si>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</si>
  <si>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</si>
  <si>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</si>
  <si>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</si>
  <si>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</si>
  <si>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</si>
  <si>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</si>
  <si>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</si>
  <si>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</si>
  <si>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</si>
  <si>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</si>
  <si>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</si>
  <si>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</si>
  <si>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</si>
  <si>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</si>
  <si>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</si>
  <si>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</si>
  <si>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</si>
  <si>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</si>
  <si>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</si>
  <si>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</si>
  <si>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</si>
  <si>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</si>
  <si>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</si>
  <si>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</si>
  <si>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</si>
  <si>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</si>
  <si>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</si>
  <si>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</si>
  <si>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</si>
  <si>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</si>
  <si>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</si>
  <si>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</si>
  <si>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</si>
  <si>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Darnaus judrumo priemonių diegimas</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</si>
  <si>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</si>
  <si>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</si>
  <si>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</si>
  <si>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</si>
  <si>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</si>
  <si>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</si>
  <si>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</si>
  <si>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</si>
  <si>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</si>
  <si>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</si>
  <si>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</si>
  <si>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</si>
  <si>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</si>
  <si>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</si>
  <si>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</si>
  <si>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</si>
  <si>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</si>
  <si>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</si>
  <si>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</si>
  <si>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</si>
  <si>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</si>
  <si>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</si>
  <si>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</si>
  <si>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</si>
  <si>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</si>
  <si>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</si>
  <si>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</si>
  <si>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</si>
  <si>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</si>
  <si>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</si>
  <si>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</si>
  <si>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</si>
  <si>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</si>
  <si>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</si>
  <si>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</si>
  <si>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</si>
  <si>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</si>
  <si>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</si>
  <si>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</si>
  <si>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</si>
  <si>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2.4.2.3.2</t>
  </si>
  <si>
    <t xml:space="preserve">Birštono PSPC modernizavimas vaikų bei vyresnio amžiaus gyventojų ligų profilaktikos, prevencijos ir ankstyvosios diagnostikos srityse </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</si>
  <si>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</si>
  <si>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</si>
  <si>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</si>
  <si>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</si>
  <si>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</si>
  <si>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</si>
  <si>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</si>
  <si>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</si>
  <si>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</si>
  <si>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 xml:space="preserve">Viešąsias sveikatos priežiūros paslaugas teikiančių įstaigų, kuriose pagerinta paslaugų teikimo </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</si>
  <si>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</si>
  <si>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</si>
  <si>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</si>
  <si>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</si>
  <si>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</si>
  <si>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</si>
  <si>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</si>
  <si>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</si>
  <si>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</si>
  <si>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</si>
  <si>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</si>
  <si>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</si>
  <si>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</si>
  <si>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</si>
  <si>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1</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</si>
  <si>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</si>
  <si>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</si>
  <si>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</si>
  <si>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</si>
  <si>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</si>
  <si>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Birštono miesto darnaus judumo plano parengimas</t>
  </si>
  <si>
    <t xml:space="preserve">Buvusios Aviacijos gamyklos teritorijos konversija </t>
  </si>
  <si>
    <t xml:space="preserve">Teritorijos, apribotos Nemuno upės kairiojo kranto ir H. ir O. Minkovskių g., kompleksinis vystymas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</si>
  <si>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</si>
  <si>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</si>
  <si>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</si>
  <si>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</si>
  <si>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</si>
  <si>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</si>
  <si>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</si>
  <si>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</si>
  <si>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</si>
  <si>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</si>
  <si>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VšĮ Kauno centro poliklinika</t>
  </si>
  <si>
    <t>VšĮ Kauno Kalniečių poliklinika</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</si>
  <si>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</si>
  <si>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</si>
  <si>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</si>
  <si>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</si>
  <si>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</si>
  <si>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</si>
  <si>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</si>
  <si>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</si>
  <si>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</si>
  <si>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</si>
  <si>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</si>
  <si>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</si>
  <si>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</si>
  <si>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</si>
  <si>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</si>
  <si>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Viktoro Petkaus pagrindinės mokyklos pastato patalpų remontas</t>
  </si>
  <si>
    <t>Raseinių meno mokyklos pastato, esančio Vytauto Didžiojo g.15, patalpų remontas</t>
  </si>
  <si>
    <t>2.3.1.10.2</t>
  </si>
  <si>
    <t>2.3.2.3.4</t>
  </si>
  <si>
    <t>VšĮ Raseinių ligoninės infrastruktūros sterilizacinės įrangos atnaujinimas</t>
  </si>
  <si>
    <t>Raseinių rajono Mituvos upelio baseino ir kitų melioracijos griovių bei juose esančių statinių rekonstravimas</t>
  </si>
  <si>
    <t xml:space="preserve">Viduklės katilinės modernizavimas pastatant 1.2 Mwgalios biokuro katilą, </t>
  </si>
  <si>
    <t>Raseinių rajono Viduklės Simono Stanevičiaus gimnazijos katilinės modernizavimas, pakeičiant  krosninį kurą biokuru</t>
  </si>
  <si>
    <t>Raseinių Viktoro Petkaus psgrindinės mokyklos katilinės modernizavimas pakeičiant krosninį kurą biokuru</t>
  </si>
  <si>
    <t xml:space="preserve">RR Viduklės Simono Stanevičiaus gimnazija  </t>
  </si>
  <si>
    <t>RR Viktoro Petkaus pagrindinė mokykla</t>
  </si>
  <si>
    <t>3.1.3.2.4.</t>
  </si>
  <si>
    <t>Kondensacinio ekonomaizerio įrengimas Ariogalos katilinėje</t>
  </si>
  <si>
    <t>Suremontuotas stadionas</t>
  </si>
  <si>
    <t>Atnaujintos patalpos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</si>
  <si>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</si>
  <si>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</si>
  <si>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</si>
  <si>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</si>
  <si>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</si>
  <si>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</si>
  <si>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</si>
  <si>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2.5.1.6.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</si>
  <si>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</si>
  <si>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</si>
  <si>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</si>
  <si>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</si>
  <si>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</si>
  <si>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</si>
  <si>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</si>
  <si>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</si>
  <si>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</si>
  <si>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</si>
  <si>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</si>
  <si>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</si>
  <si>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</si>
  <si>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</si>
  <si>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</si>
  <si>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</si>
  <si>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</si>
  <si>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</si>
  <si>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</si>
  <si>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</si>
  <si>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</si>
  <si>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</si>
  <si>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</si>
  <si>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</si>
  <si>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</si>
  <si>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</si>
  <si>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</si>
  <si>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</si>
  <si>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</si>
  <si>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</si>
  <si>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</si>
  <si>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</si>
  <si>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</si>
  <si>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</si>
  <si>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</si>
  <si>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</si>
  <si>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</si>
  <si>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</si>
  <si>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</si>
  <si>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</si>
  <si>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</si>
  <si>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</si>
  <si>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</si>
  <si>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</si>
  <si>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</si>
  <si>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</si>
  <si>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</si>
  <si>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</si>
  <si>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</si>
  <si>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</si>
  <si>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</si>
  <si>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</si>
  <si>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</si>
  <si>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</si>
  <si>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</si>
  <si>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</si>
  <si>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</si>
  <si>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</si>
  <si>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Pažėrų k. vandens gerinimo įrenginių statyba</t>
  </si>
  <si>
    <t>Lapių k. vandens gerinimo įrenginių statyba</t>
  </si>
  <si>
    <t>Voškonių k. vandens gerinimo įrenginių statyba Eigirgalos k.</t>
  </si>
  <si>
    <t xml:space="preserve">Vilkijos m. nuotekų tvarkymo infrastruktūros renovavimas ir plėtra </t>
  </si>
  <si>
    <t>Ilgakiemio k. nuotekų valymo įrenginių rekonstrukcija-išplėtimas</t>
  </si>
  <si>
    <t>Žiegždrių k. nuotekų valymo įrenginių rekonstrukcija</t>
  </si>
  <si>
    <t>Girionių k. nuotekų valymo įrenginių rekonstrukcija</t>
  </si>
  <si>
    <t>Bubių k. vandens tiekimo ir nuotekų tinklų plėtra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</si>
  <si>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</si>
  <si>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</si>
  <si>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</si>
  <si>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</si>
  <si>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</si>
  <si>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</si>
  <si>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</si>
  <si>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</si>
  <si>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</si>
  <si>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</si>
  <si>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</si>
  <si>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</si>
  <si>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</si>
  <si>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</si>
  <si>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</si>
  <si>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</si>
  <si>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</si>
  <si>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</si>
  <si>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</si>
  <si>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</si>
  <si>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</si>
  <si>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</si>
  <si>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</si>
  <si>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</si>
  <si>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</si>
  <si>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</si>
  <si>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</si>
  <si>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</si>
  <si>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</si>
  <si>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</si>
  <si>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</si>
  <si>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</si>
  <si>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</si>
  <si>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</si>
  <si>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</si>
  <si>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</si>
  <si>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</si>
  <si>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</si>
  <si>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</si>
  <si>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</si>
  <si>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</si>
  <si>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</si>
  <si>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</si>
  <si>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</si>
  <si>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</si>
  <si>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</si>
  <si>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</si>
  <si>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</si>
  <si>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</si>
  <si>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</si>
  <si>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</si>
  <si>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</si>
  <si>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</si>
  <si>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</si>
  <si>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</si>
  <si>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</si>
  <si>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</si>
  <si>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</si>
  <si>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</si>
  <si>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</si>
  <si>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</si>
  <si>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</si>
  <si>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</si>
  <si>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</si>
  <si>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</si>
  <si>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</si>
  <si>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</si>
  <si>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</si>
  <si>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</si>
  <si>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</si>
  <si>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</si>
  <si>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</si>
  <si>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</si>
  <si>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</si>
  <si>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</si>
  <si>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</si>
  <si>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</si>
  <si>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</si>
  <si>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</si>
  <si>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</si>
  <si>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</si>
  <si>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</si>
  <si>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</si>
  <si>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</si>
  <si>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</si>
  <si>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</si>
  <si>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</si>
  <si>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</si>
  <si>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</si>
  <si>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</si>
  <si>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</si>
  <si>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</si>
  <si>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</si>
  <si>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 xml:space="preserve">P.S. 335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</si>
  <si>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</si>
  <si>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</si>
  <si>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</si>
  <si>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</si>
  <si>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</si>
  <si>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</si>
  <si>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</si>
  <si>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</si>
  <si>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</si>
  <si>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Kauno miesto savivaldybė, Kauno rajono savivaldybė</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</si>
  <si>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</si>
  <si>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</si>
  <si>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</si>
  <si>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</si>
  <si>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</si>
  <si>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</si>
  <si>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</si>
  <si>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</si>
  <si>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</si>
  <si>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</si>
  <si>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2016.10</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</si>
  <si>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</si>
  <si>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</si>
  <si>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</si>
  <si>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</si>
  <si>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</si>
  <si>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</si>
  <si>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</si>
  <si>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</si>
  <si>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</si>
  <si>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</si>
  <si>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</si>
  <si>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</si>
  <si>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</si>
  <si>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</si>
  <si>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</si>
  <si>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</si>
  <si>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</si>
  <si>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</si>
  <si>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</si>
  <si>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</si>
  <si>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</si>
  <si>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</si>
  <si>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</si>
  <si>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</si>
  <si>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</si>
  <si>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</si>
  <si>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</si>
  <si>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</si>
  <si>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</si>
  <si>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</si>
  <si>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</si>
  <si>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</si>
  <si>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</si>
  <si>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</si>
  <si>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</si>
  <si>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</si>
  <si>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</si>
  <si>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Kėdainių rajono savivaldybė, Raseinių rajono savivaldybė, Jonavos rajno savivaldybė</t>
  </si>
  <si>
    <t xml:space="preserve">Įrengti ženklinimo infrastruktūros objektai </t>
  </si>
  <si>
    <t>Sugaištas kelionės automobilių keliais (išskyrus TEN-T kelius) laikas mln. val.</t>
  </si>
  <si>
    <t>Įdiegtos saugų eismą gerinančios ir aplinkosaugos priemonės vnt.</t>
  </si>
  <si>
    <t xml:space="preserve">3.1.1.1.7. </t>
  </si>
  <si>
    <t>3.1.3.2.6</t>
  </si>
  <si>
    <t>Buvusios naftos bazės teritorijos Kaišiadorių r. sav., Žiežmarių apyl. sen. , Pakertų k., ir buvusio pesticidų sandėlio teritorijos Kaišiadorių r. sav., Nemaitonių sen., Varkalių k., sutvarkymas"</t>
  </si>
  <si>
    <t>Vietinės reikšmės keliai ir gatvės (statyba)</t>
  </si>
  <si>
    <t>P.N.508</t>
  </si>
  <si>
    <t>Bendras naujai nutiestų kelių ilgis (km)</t>
  </si>
  <si>
    <t>2.3.1.7.4</t>
  </si>
  <si>
    <t>Socialinių paslaugų infrastruktūros plėtra Kauno rajone</t>
  </si>
  <si>
    <t>VšĮ Rokų socialinės gerovės centras</t>
  </si>
  <si>
    <t>Kėdainių rajono, Raseinių rajono, Jonavos rajno savivaldybė</t>
  </si>
  <si>
    <t>Kauno miesto, Kauno rajono savivaldybė</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</si>
  <si>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</si>
  <si>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</si>
  <si>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</si>
  <si>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</si>
  <si>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2.2.2.2.21</t>
  </si>
  <si>
    <t>2.2.2.2.22</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</si>
  <si>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</si>
  <si>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</si>
  <si>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</si>
  <si>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</si>
  <si>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</si>
  <si>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</si>
  <si>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</si>
  <si>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</si>
  <si>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</si>
  <si>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</si>
  <si>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</si>
  <si>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</si>
  <si>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</si>
  <si>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</si>
  <si>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</si>
  <si>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</si>
  <si>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</si>
  <si>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</si>
  <si>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</si>
  <si>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</si>
  <si>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</si>
  <si>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</si>
  <si>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</si>
  <si>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</si>
  <si>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</si>
  <si>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</si>
  <si>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</si>
  <si>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</si>
  <si>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</si>
  <si>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</si>
  <si>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</si>
  <si>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</si>
  <si>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</si>
  <si>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</si>
  <si>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</si>
  <si>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</si>
  <si>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</si>
  <si>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</si>
  <si>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</si>
  <si>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</si>
  <si>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</si>
  <si>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</si>
  <si>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</si>
  <si>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</si>
  <si>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</si>
  <si>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</si>
  <si>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</si>
  <si>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</si>
  <si>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</si>
  <si>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</si>
  <si>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</si>
  <si>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</si>
  <si>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</si>
  <si>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</si>
  <si>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</si>
  <si>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</si>
  <si>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</si>
  <si>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</si>
  <si>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</si>
  <si>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</si>
  <si>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</si>
  <si>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</si>
  <si>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</si>
  <si>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</si>
  <si>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</si>
  <si>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</si>
  <si>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</si>
  <si>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</si>
  <si>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</si>
  <si>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</si>
  <si>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</si>
  <si>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</si>
  <si>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</si>
  <si>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</si>
  <si>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</si>
  <si>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</si>
  <si>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</si>
  <si>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</si>
  <si>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</si>
  <si>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</si>
  <si>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</si>
  <si>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</si>
  <si>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</si>
  <si>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</si>
  <si>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</si>
  <si>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</si>
  <si>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</si>
  <si>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</si>
  <si>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</si>
  <si>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</si>
  <si>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</si>
  <si>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</si>
  <si>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</si>
  <si>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</si>
  <si>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</si>
  <si>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</si>
  <si>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</si>
  <si>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Dviračių takų tinklo Jonavos mieste plėtra</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</si>
  <si>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</si>
  <si>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</si>
  <si>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</si>
  <si>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</si>
  <si>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</si>
  <si>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</si>
  <si>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</si>
  <si>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</si>
  <si>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</si>
  <si>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</si>
  <si>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</si>
  <si>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</si>
  <si>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</si>
  <si>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</si>
  <si>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</si>
  <si>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</si>
  <si>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</si>
  <si>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Viešosios infrastruktūros panaudojimas verslumo skatinimui</t>
  </si>
  <si>
    <t>Priemonė: Verslo subjektų skatinimas teikti bendruomenei aktualias paslaugas, didinti gamybos pajėgumus ir eksporto apimtis</t>
  </si>
  <si>
    <t>Priemonė: Miestų viešosios infrastruktūros sutvarkymas, gerinant sąlygas naujam verslui ir darbo vietų kūrimui</t>
  </si>
  <si>
    <t>Priemonė: Tikslinių teritorijų (miestų) vietos veiklos grupių įsteigimas</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</si>
  <si>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</si>
  <si>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</si>
  <si>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</si>
  <si>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</si>
  <si>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</si>
  <si>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</si>
  <si>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</si>
  <si>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</si>
  <si>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</si>
  <si>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</si>
  <si>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</si>
  <si>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</si>
  <si>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</si>
  <si>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</si>
  <si>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</si>
  <si>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</si>
  <si>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</si>
  <si>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</si>
  <si>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</si>
  <si>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</si>
  <si>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</si>
  <si>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</si>
  <si>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</si>
  <si>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</si>
  <si>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</si>
  <si>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</si>
  <si>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</si>
  <si>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</si>
  <si>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2.1</t>
  </si>
  <si>
    <t>Tikslas: Skatinti informacinės visuomenės formąvimąsi ir vystymąsi</t>
  </si>
  <si>
    <t>2.1.1</t>
  </si>
  <si>
    <t>Uždavinys: Kurti ir plėtoti informacinę infrastruktūrą, skatinti jos panaudojimą</t>
  </si>
  <si>
    <t>2.1.2</t>
  </si>
  <si>
    <t>Uždavinys: Įdiegti elektronines paslaugas regiono bendruomenei</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</si>
  <si>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</si>
  <si>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</si>
  <si>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</si>
  <si>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</si>
  <si>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</si>
  <si>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</si>
  <si>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</si>
  <si>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</si>
  <si>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</si>
  <si>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</si>
  <si>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</si>
  <si>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</si>
  <si>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</si>
  <si>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</si>
  <si>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</si>
  <si>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</si>
  <si>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</si>
  <si>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</si>
  <si>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</si>
  <si>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</si>
  <si>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</si>
  <si>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</si>
  <si>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</si>
  <si>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</si>
  <si>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</si>
  <si>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</si>
  <si>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</si>
  <si>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</si>
  <si>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</si>
  <si>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</si>
  <si>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</si>
  <si>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</si>
  <si>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</si>
  <si>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</si>
  <si>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</si>
  <si>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</si>
  <si>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</si>
  <si>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</si>
  <si>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</si>
  <si>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</si>
  <si>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</si>
  <si>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</si>
  <si>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</si>
  <si>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</si>
  <si>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1.1.2.3.</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</si>
  <si>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</si>
  <si>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</si>
  <si>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</si>
  <si>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</si>
  <si>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</si>
  <si>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</si>
  <si>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</si>
  <si>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</si>
  <si>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</si>
  <si>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</si>
  <si>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Žiemos sporto mokykla „Baltų Ainiai“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</si>
  <si>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</si>
  <si>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</si>
  <si>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</si>
  <si>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</si>
  <si>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</si>
  <si>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</si>
  <si>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</si>
  <si>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</si>
  <si>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</si>
  <si>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</si>
  <si>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</si>
  <si>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</si>
  <si>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</si>
  <si>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</si>
  <si>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</si>
  <si>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</si>
  <si>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</si>
  <si>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</si>
  <si>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</si>
  <si>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</si>
  <si>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2.2.2.1.</t>
  </si>
  <si>
    <t>2.2.2.2.</t>
  </si>
  <si>
    <t>2.2.3.1.</t>
  </si>
  <si>
    <t>2.2.3.2.</t>
  </si>
  <si>
    <t>2.2.3.3.</t>
  </si>
  <si>
    <t>2.2.3.4.</t>
  </si>
  <si>
    <t>Priemonė: Mokymo procesų kompiuterizavimas švietimo įstaigose</t>
  </si>
  <si>
    <t>Priemonė: Švietimo įstaigų pastatų statyba, renovacija ir modernizacija bei jų infrastruktūros plėtra</t>
  </si>
  <si>
    <t>Priemonė: Gyventojų kompiuterinio raštingumo didinimas</t>
  </si>
  <si>
    <t xml:space="preserve">Priemonė: Nuotolinio mokymosi sistemų skatinimas </t>
  </si>
  <si>
    <t>Priemonė: Gyventojų švietimo programos mokymasis visą gyvenimą  įgyvendinimas</t>
  </si>
  <si>
    <t>2.2.4.1.</t>
  </si>
  <si>
    <t>2.2.4.2.</t>
  </si>
  <si>
    <t>2.3.1.1.</t>
  </si>
  <si>
    <t>2.3.1.2.</t>
  </si>
  <si>
    <t>2.3.1.3.</t>
  </si>
  <si>
    <t>2.3.1.4.</t>
  </si>
  <si>
    <t>2.3.1.5.</t>
  </si>
  <si>
    <t>2.3.1.6.</t>
  </si>
  <si>
    <t>2.3.1.7.</t>
  </si>
  <si>
    <t>2.3.1.8.</t>
  </si>
  <si>
    <t>2.3.1.9.</t>
  </si>
  <si>
    <t>2.3.1.10.</t>
  </si>
  <si>
    <t>2.3.2.1.</t>
  </si>
  <si>
    <t>2.3.2.2.</t>
  </si>
  <si>
    <t>2.4.1.1.</t>
  </si>
  <si>
    <t>2.4.1.2.</t>
  </si>
  <si>
    <t>2.4.1.3.</t>
  </si>
  <si>
    <t>2.4.1.4.</t>
  </si>
  <si>
    <t>2.4.1.5.</t>
  </si>
  <si>
    <t>2.4.1.6.</t>
  </si>
  <si>
    <t>2.4.2.1.</t>
  </si>
  <si>
    <t>2.4.2.2.</t>
  </si>
  <si>
    <t>2.4.2.3.</t>
  </si>
  <si>
    <t>2.5.1.1.</t>
  </si>
  <si>
    <t>2.5.1.2.</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</si>
  <si>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</si>
  <si>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</si>
  <si>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</si>
  <si>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</si>
  <si>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</si>
  <si>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Priemonė: Krizių centrų plėtra</t>
  </si>
  <si>
    <t>Priemonė: Naujų vaikų globos namų steigimas, statyba ir esamų modernizavimas bei plėtra</t>
  </si>
  <si>
    <t>Priemonė: Įvaikinimo ir globos skatinimo programos įgyvendinimas</t>
  </si>
  <si>
    <t>Priemonė: Vaikų ir jaunimo socializacijos, pedagoginių -psichologinių tarnybų plėtra</t>
  </si>
  <si>
    <t xml:space="preserve">Priemonė: Laikinojo apgyvendinimo ir nakvynės namų infrastruktūros bei paslaugų modernizavimas ir plėtra, pastatų renovavimas </t>
  </si>
  <si>
    <t>Priemonė: Senelių globos ir kartos namų  statyba,  renovavimas ir esamos infrastruktūros modernizavimas</t>
  </si>
  <si>
    <t>Priemonė: Reabilitacijos ir socialinės adaptacijos socialinės rizikos grupių asmenims paslaugų plėtra</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</si>
  <si>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</si>
  <si>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</si>
  <si>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</si>
  <si>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Esamų savivaldybių butų rekonstrukcija, siekiant padidinti energetinį efektyvumą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</si>
  <si>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</si>
  <si>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</si>
  <si>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</si>
  <si>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</si>
  <si>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</si>
  <si>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</si>
  <si>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</si>
  <si>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</si>
  <si>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</si>
  <si>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2.5.1.6</t>
  </si>
  <si>
    <t>Priemonė: Viešosios kultūros infrastruktūros modernizavimas ir plėtra</t>
  </si>
  <si>
    <t>Priemonė: Sporto centrų modernizavimas ir jų infrastruktūros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</si>
  <si>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</si>
  <si>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</si>
  <si>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</si>
  <si>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Priemonė: Visuomeninės paskirties pastatų renovacija ir statyba</t>
  </si>
  <si>
    <t>2.5.2.1.</t>
  </si>
  <si>
    <t>2.5.2.2.</t>
  </si>
  <si>
    <t>2.5.2.3.</t>
  </si>
  <si>
    <t>2.5.2.4.</t>
  </si>
  <si>
    <t xml:space="preserve">Priemonė: Bendruomenių namų kūrimas  ir statyba </t>
  </si>
  <si>
    <t xml:space="preserve">Priemonė: Naujų inovatyvių vietos gyventojų bendruomenės iniciatyvų, nukreiptų į gyvenimo aplinkos ir kokybės gerinimą, skatinimas </t>
  </si>
  <si>
    <t>Priemonė: Jaunimo ir vaikų narkotinių medžiagų vartojimo, nusikaltimų prevencijos programos įgyvendinimas</t>
  </si>
  <si>
    <t>Priemonė: Bendruomenės saugumo iniciatyvų ir saugumo edukacinių programų skatinimas</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</si>
  <si>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</si>
  <si>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</si>
  <si>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</si>
  <si>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</si>
  <si>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2. 6.1.3.</t>
  </si>
  <si>
    <t>2. 6.1.4.</t>
  </si>
  <si>
    <t>2.6.2.1.</t>
  </si>
  <si>
    <t>2.6.2.2.</t>
  </si>
  <si>
    <t>2.6.2.3.</t>
  </si>
  <si>
    <t>Priemonė: Kaimo bendruomenių aktyvumo skatinimas ir telkimas plėtojant vietos partnerystę</t>
  </si>
  <si>
    <t>Priemonė: Kaimo infrastruktūros gerinimas ir plėtra</t>
  </si>
  <si>
    <t>Priemonė: Žemės ūkio specialistų, žemdirbių ir kaimo gyventojų mokymo ir konsultavimo sistemos gerinimas.</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</si>
  <si>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</si>
  <si>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</si>
  <si>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</si>
  <si>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</si>
  <si>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</si>
  <si>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</si>
  <si>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</si>
  <si>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</si>
  <si>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3.1.1.4.</t>
  </si>
  <si>
    <t>3.1.1.5.</t>
  </si>
  <si>
    <t>3.1.1.6.</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</si>
  <si>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</si>
  <si>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</si>
  <si>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</si>
  <si>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Strateginių triukšmo žemėlapių ir veiksmų plano sudarymas, gyvenamųjų vietovių teritorijų, kuriose būtina įgyvendinti triukšmo prevencijos ir mažinimo priemones, nustatymas bei triukšmo prevencijos ir mažinimo priemonių įgyvendinimas </t>
  </si>
  <si>
    <t xml:space="preserve">Priemonė: Aplinkai ir sveikatai palankaus gyvenimo būdo propagavimas, bendruomeninės sveikatos stiprinimo veiklos skatinimas </t>
  </si>
  <si>
    <t>Priemonė: Darnaus vystymo, aplinkosauginio švietimo,  ugdymo ir visuomenės informavimo programų vystymas</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</si>
  <si>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</si>
  <si>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</si>
  <si>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</si>
  <si>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</si>
  <si>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</si>
  <si>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</si>
  <si>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3.1.3.1.</t>
  </si>
  <si>
    <t>3.1.3.2.</t>
  </si>
  <si>
    <t>3.1.3.3.</t>
  </si>
  <si>
    <t>3.1.3.4.</t>
  </si>
  <si>
    <t>3.1.3.5.</t>
  </si>
  <si>
    <t>Priemonė: Daugiabučių namų renovavimas</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</si>
  <si>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</si>
  <si>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</si>
  <si>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</si>
  <si>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</si>
  <si>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3.1.4.1.</t>
  </si>
  <si>
    <t>3.1.4.2.</t>
  </si>
  <si>
    <t>3.1.4.3.</t>
  </si>
  <si>
    <t>3.1.4.4.</t>
  </si>
  <si>
    <t>3.2.1.1.</t>
  </si>
  <si>
    <t>3.2.1.2.</t>
  </si>
  <si>
    <t>3.2.1.3.</t>
  </si>
  <si>
    <t>3.2.1.4.</t>
  </si>
  <si>
    <t>Priemonė: Atvirų vandens telkinių kokybės gerinimas, jų rekreacinio potencialo didinimas bei taršos mažinimas, užterštų vandens telkinių valymas</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</si>
  <si>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</si>
  <si>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</si>
  <si>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</si>
  <si>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</si>
  <si>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</si>
  <si>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</si>
  <si>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</si>
  <si>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</si>
  <si>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</si>
  <si>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</si>
  <si>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</si>
  <si>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</si>
  <si>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</si>
  <si>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</si>
  <si>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</si>
  <si>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</si>
  <si>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</si>
  <si>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</si>
  <si>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</si>
  <si>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</si>
  <si>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</si>
  <si>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</si>
  <si>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</si>
  <si>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</si>
  <si>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</si>
  <si>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</si>
  <si>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</si>
  <si>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</si>
  <si>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</si>
  <si>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</si>
  <si>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</si>
  <si>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</si>
  <si>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</si>
  <si>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</si>
  <si>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</si>
  <si>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</si>
  <si>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</si>
  <si>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</si>
  <si>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</si>
  <si>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</si>
  <si>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</si>
  <si>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</si>
  <si>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</si>
  <si>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</si>
  <si>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</si>
  <si>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</si>
  <si>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Aktuali redakcija 2018-02-26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</si>
</sst>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7"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11"/>
      <name val="Calibri"/>
      <family val="2"/>
      <charset val="186"/>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b/>
      <strike/>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3">
    <xf numFmtId="0" fontId="0" fillId="0" borderId="0"/>
    <xf numFmtId="43"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3" fillId="0" borderId="0"/>
    <xf numFmtId="0" fontId="9"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2" fillId="0" borderId="0"/>
    <xf numFmtId="0" fontId="8" fillId="0" borderId="1" applyNumberFormat="0" applyFill="0" applyAlignment="0" applyProtection="0"/>
  </cellStyleXfs>
  <cellXfs count="511">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49" fontId="10" fillId="0" borderId="0" xfId="0" applyNumberFormat="1" applyFont="1" applyFill="1" applyBorder="1"/>
    <xf numFmtId="0" fontId="23" fillId="0" borderId="0" xfId="0" applyFont="1" applyAlignment="1">
      <alignment vertical="center"/>
    </xf>
    <xf numFmtId="0" fontId="27" fillId="0" borderId="2" xfId="0" applyFont="1" applyBorder="1" applyAlignment="1">
      <alignment horizontal="center" vertical="center" wrapText="1"/>
    </xf>
    <xf numFmtId="0" fontId="16" fillId="0" borderId="2" xfId="0" applyFont="1" applyFill="1" applyBorder="1" applyAlignment="1">
      <alignment horizontal="left" vertical="top" wrapText="1"/>
    </xf>
    <xf numFmtId="0" fontId="16" fillId="0" borderId="2" xfId="0" applyFont="1" applyFill="1" applyBorder="1" applyAlignment="1">
      <alignment horizontal="center" vertical="top"/>
    </xf>
    <xf numFmtId="0" fontId="16" fillId="0" borderId="2" xfId="0" applyFont="1" applyFill="1" applyBorder="1" applyAlignment="1">
      <alignment horizontal="left" vertical="top"/>
    </xf>
    <xf numFmtId="0" fontId="17" fillId="0" borderId="2" xfId="0" applyFont="1" applyFill="1" applyBorder="1" applyAlignment="1">
      <alignment horizontal="center" vertical="top"/>
    </xf>
    <xf numFmtId="0" fontId="17" fillId="0" borderId="2" xfId="0" applyFont="1" applyFill="1" applyBorder="1" applyAlignment="1">
      <alignment horizontal="left" vertical="top" wrapText="1"/>
    </xf>
    <xf numFmtId="0" fontId="18" fillId="0" borderId="2" xfId="0" applyFont="1" applyBorder="1" applyAlignment="1">
      <alignment vertical="center" wrapText="1"/>
    </xf>
    <xf numFmtId="0" fontId="19" fillId="0" borderId="2" xfId="6" applyFont="1" applyFill="1" applyBorder="1" applyAlignment="1">
      <alignment vertical="top" wrapText="1"/>
    </xf>
    <xf numFmtId="0" fontId="20" fillId="0" borderId="2" xfId="0" applyFont="1" applyFill="1" applyBorder="1" applyAlignment="1">
      <alignment wrapText="1"/>
    </xf>
    <xf numFmtId="0" fontId="0" fillId="5" borderId="4" xfId="0" applyFill="1" applyBorder="1"/>
    <xf numFmtId="0" fontId="21" fillId="0" borderId="2" xfId="6" applyFont="1" applyFill="1" applyBorder="1" applyAlignment="1">
      <alignment vertical="top" wrapText="1"/>
    </xf>
    <xf numFmtId="0" fontId="0" fillId="0" borderId="4" xfId="0" applyBorder="1"/>
    <xf numFmtId="0" fontId="0" fillId="2" borderId="4" xfId="0" applyFill="1" applyBorder="1"/>
    <xf numFmtId="0" fontId="22" fillId="0" borderId="4" xfId="0" applyFont="1" applyBorder="1"/>
    <xf numFmtId="0" fontId="0" fillId="0" borderId="4" xfId="0" applyBorder="1" applyAlignment="1">
      <alignment horizontal="center" vertical="center"/>
    </xf>
    <xf numFmtId="0" fontId="23" fillId="0" borderId="4" xfId="0" applyFont="1" applyBorder="1"/>
    <xf numFmtId="0" fontId="19" fillId="0" borderId="2" xfId="6" applyFont="1" applyBorder="1" applyAlignment="1">
      <alignment vertical="top" wrapText="1"/>
    </xf>
    <xf numFmtId="0" fontId="24" fillId="0" borderId="2" xfId="6" applyFont="1" applyBorder="1" applyAlignment="1">
      <alignment vertical="top" wrapText="1"/>
    </xf>
    <xf numFmtId="0" fontId="24" fillId="0" borderId="2" xfId="6" applyFont="1" applyBorder="1" applyAlignment="1">
      <alignment horizontal="left" wrapText="1"/>
    </xf>
    <xf numFmtId="0" fontId="20" fillId="0" borderId="2" xfId="6" applyFont="1" applyBorder="1" applyAlignment="1">
      <alignment vertical="top" wrapText="1"/>
    </xf>
    <xf numFmtId="0" fontId="20" fillId="0" borderId="2" xfId="6" applyFont="1" applyBorder="1" applyAlignment="1">
      <alignment vertical="top"/>
    </xf>
    <xf numFmtId="0" fontId="20"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9" fillId="0" borderId="0" xfId="0" applyFont="1"/>
    <xf numFmtId="4" fontId="29" fillId="2" borderId="2" xfId="21" applyNumberFormat="1" applyFont="1" applyFill="1" applyBorder="1" applyAlignment="1">
      <alignment horizontal="right" vertical="top"/>
    </xf>
    <xf numFmtId="4" fontId="29" fillId="0" borderId="2" xfId="0" applyNumberFormat="1" applyFont="1" applyBorder="1" applyAlignment="1">
      <alignment horizontal="right" vertical="top" wrapText="1"/>
    </xf>
    <xf numFmtId="0" fontId="23" fillId="5" borderId="4" xfId="0" applyFont="1" applyFill="1" applyBorder="1"/>
    <xf numFmtId="0" fontId="22" fillId="0" borderId="5" xfId="0" applyFont="1" applyBorder="1" applyAlignment="1">
      <alignment vertical="center" wrapText="1"/>
    </xf>
    <xf numFmtId="0" fontId="18" fillId="0" borderId="5" xfId="0" applyFont="1" applyBorder="1" applyAlignment="1">
      <alignment vertical="center" wrapText="1"/>
    </xf>
    <xf numFmtId="0" fontId="20" fillId="0" borderId="5" xfId="0" applyFont="1" applyBorder="1" applyAlignment="1">
      <alignment vertical="center" wrapText="1"/>
    </xf>
    <xf numFmtId="0" fontId="22" fillId="0" borderId="5" xfId="0" applyFont="1" applyBorder="1" applyAlignment="1">
      <alignment horizontal="center" vertical="center" wrapText="1"/>
    </xf>
    <xf numFmtId="0" fontId="18" fillId="5" borderId="5" xfId="0" applyFont="1" applyFill="1" applyBorder="1" applyAlignment="1">
      <alignment vertical="center" wrapText="1"/>
    </xf>
    <xf numFmtId="0" fontId="23" fillId="0" borderId="5" xfId="0" applyFont="1" applyBorder="1" applyAlignment="1">
      <alignment vertical="center" wrapText="1"/>
    </xf>
    <xf numFmtId="0" fontId="23" fillId="5" borderId="5" xfId="0" applyFont="1" applyFill="1" applyBorder="1" applyAlignment="1">
      <alignment vertical="center" wrapText="1"/>
    </xf>
    <xf numFmtId="0" fontId="18" fillId="0" borderId="5" xfId="0" applyFont="1" applyBorder="1" applyAlignment="1">
      <alignment horizontal="center" vertical="center" wrapText="1"/>
    </xf>
    <xf numFmtId="0" fontId="18" fillId="0" borderId="0" xfId="0" applyFont="1" applyFill="1" applyBorder="1" applyAlignment="1">
      <alignment vertical="center" wrapText="1"/>
    </xf>
    <xf numFmtId="0" fontId="18" fillId="0" borderId="6" xfId="0" applyFont="1" applyFill="1" applyBorder="1" applyAlignment="1">
      <alignment vertical="center" wrapText="1"/>
    </xf>
    <xf numFmtId="0" fontId="18" fillId="0" borderId="0" xfId="0" applyFont="1" applyAlignment="1">
      <alignment vertical="center"/>
    </xf>
    <xf numFmtId="4" fontId="22" fillId="0" borderId="2" xfId="0" applyNumberFormat="1" applyFont="1" applyBorder="1"/>
    <xf numFmtId="0" fontId="22" fillId="0" borderId="2" xfId="0" applyFont="1" applyBorder="1"/>
    <xf numFmtId="0" fontId="22" fillId="0" borderId="2" xfId="0" applyFont="1" applyBorder="1" applyAlignment="1">
      <alignment horizontal="left" wrapText="1"/>
    </xf>
    <xf numFmtId="4" fontId="22" fillId="0" borderId="2" xfId="0" applyNumberFormat="1" applyFont="1" applyBorder="1" applyAlignment="1">
      <alignment wrapText="1"/>
    </xf>
    <xf numFmtId="0" fontId="22" fillId="0" borderId="2" xfId="0" applyFont="1" applyBorder="1" applyAlignment="1">
      <alignment vertical="center"/>
    </xf>
    <xf numFmtId="0" fontId="22" fillId="0" borderId="2" xfId="0" applyFont="1" applyBorder="1" applyAlignment="1">
      <alignment vertical="center" wrapText="1"/>
    </xf>
    <xf numFmtId="0" fontId="27" fillId="0" borderId="2" xfId="0" applyFont="1" applyBorder="1" applyAlignment="1">
      <alignment vertical="center"/>
    </xf>
    <xf numFmtId="0" fontId="27" fillId="0" borderId="2" xfId="0" applyFont="1" applyBorder="1" applyAlignment="1">
      <alignment vertical="center" wrapText="1"/>
    </xf>
    <xf numFmtId="4" fontId="28" fillId="0" borderId="7" xfId="0" applyNumberFormat="1" applyFont="1" applyBorder="1" applyAlignment="1">
      <alignment horizontal="center" vertical="center" wrapText="1"/>
    </xf>
    <xf numFmtId="0" fontId="28" fillId="0" borderId="7" xfId="0" applyFont="1" applyBorder="1" applyAlignment="1">
      <alignment horizontal="center" vertical="center" wrapText="1"/>
    </xf>
    <xf numFmtId="4" fontId="18" fillId="0" borderId="7" xfId="0" applyNumberFormat="1" applyFont="1" applyBorder="1" applyAlignment="1">
      <alignment horizontal="center" vertical="center" wrapText="1"/>
    </xf>
    <xf numFmtId="0" fontId="29" fillId="5" borderId="4" xfId="0" applyFont="1" applyFill="1" applyBorder="1" applyAlignment="1">
      <alignment horizontal="right" vertical="top"/>
    </xf>
    <xf numFmtId="0" fontId="28" fillId="5" borderId="7" xfId="0" applyFont="1" applyFill="1" applyBorder="1" applyAlignment="1">
      <alignment horizontal="center" vertical="center" wrapText="1"/>
    </xf>
    <xf numFmtId="4" fontId="30" fillId="0" borderId="7"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2" fontId="31" fillId="5" borderId="4" xfId="0" applyNumberFormat="1" applyFont="1" applyFill="1" applyBorder="1" applyAlignment="1">
      <alignment horizontal="right" vertical="top"/>
    </xf>
    <xf numFmtId="4" fontId="30" fillId="0" borderId="7" xfId="0" applyNumberFormat="1" applyFont="1" applyBorder="1" applyAlignment="1">
      <alignment horizontal="center" vertical="center" wrapText="1"/>
    </xf>
    <xf numFmtId="0" fontId="30" fillId="0" borderId="4" xfId="0" applyFont="1" applyBorder="1" applyAlignment="1">
      <alignment horizontal="center" vertical="center" wrapText="1"/>
    </xf>
    <xf numFmtId="4" fontId="28" fillId="2" borderId="7" xfId="0" applyNumberFormat="1" applyFont="1" applyFill="1" applyBorder="1" applyAlignment="1">
      <alignment horizontal="center" vertical="center" wrapText="1"/>
    </xf>
    <xf numFmtId="0" fontId="28" fillId="2" borderId="7" xfId="0" applyFont="1" applyFill="1" applyBorder="1" applyAlignment="1">
      <alignment horizontal="center" vertical="center" wrapText="1"/>
    </xf>
    <xf numFmtId="0" fontId="31" fillId="5" borderId="4" xfId="0" applyFont="1" applyFill="1" applyBorder="1" applyAlignment="1">
      <alignment horizontal="right" vertical="top"/>
    </xf>
    <xf numFmtId="0" fontId="31" fillId="5" borderId="4" xfId="0" applyFont="1" applyFill="1" applyBorder="1" applyAlignment="1">
      <alignment horizontal="right" vertical="top" wrapText="1"/>
    </xf>
    <xf numFmtId="4" fontId="28" fillId="5" borderId="7" xfId="0" applyNumberFormat="1" applyFont="1" applyFill="1" applyBorder="1" applyAlignment="1">
      <alignment horizontal="center" vertical="center" wrapText="1"/>
    </xf>
    <xf numFmtId="0" fontId="31" fillId="5" borderId="4" xfId="0" applyFont="1" applyFill="1" applyBorder="1" applyAlignment="1">
      <alignment horizontal="right" vertical="center"/>
    </xf>
    <xf numFmtId="0" fontId="6" fillId="5" borderId="4" xfId="0" applyFont="1" applyFill="1" applyBorder="1" applyAlignment="1">
      <alignment horizontal="right" vertical="top"/>
    </xf>
    <xf numFmtId="0" fontId="28" fillId="0" borderId="0" xfId="0" applyFont="1" applyFill="1" applyBorder="1" applyAlignment="1">
      <alignment vertical="top" wrapText="1"/>
    </xf>
    <xf numFmtId="2" fontId="0" fillId="0" borderId="0" xfId="0" applyNumberFormat="1"/>
    <xf numFmtId="1" fontId="18" fillId="0" borderId="2" xfId="0" applyNumberFormat="1" applyFont="1" applyBorder="1" applyAlignment="1">
      <alignment vertical="center" wrapText="1"/>
    </xf>
    <xf numFmtId="49" fontId="18" fillId="0" borderId="2" xfId="0" applyNumberFormat="1" applyFont="1" applyBorder="1" applyAlignment="1">
      <alignment horizontal="right" vertical="center" wrapText="1"/>
    </xf>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2"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14"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0" fontId="12" fillId="0" borderId="2" xfId="0" applyNumberFormat="1"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2"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6" fillId="0" borderId="2" xfId="0" applyNumberFormat="1" applyFont="1" applyFill="1" applyBorder="1" applyAlignment="1">
      <alignment vertical="top"/>
    </xf>
    <xf numFmtId="0" fontId="29"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2"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6" fillId="2" borderId="0" xfId="21" applyNumberFormat="1" applyFont="1" applyFill="1" applyBorder="1" applyAlignment="1">
      <alignment horizontal="right" vertical="top"/>
    </xf>
    <xf numFmtId="0" fontId="32" fillId="0" borderId="2" xfId="0" applyFont="1" applyFill="1" applyBorder="1" applyAlignment="1">
      <alignment horizontal="left" vertical="top"/>
    </xf>
    <xf numFmtId="0" fontId="32" fillId="0" borderId="2" xfId="3" applyFont="1" applyFill="1" applyBorder="1" applyAlignment="1">
      <alignment horizontal="left" vertical="top" wrapText="1"/>
    </xf>
    <xf numFmtId="0" fontId="32"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7" fillId="0" borderId="2" xfId="0" applyFont="1" applyFill="1" applyBorder="1" applyAlignment="1">
      <alignment horizontal="left" vertical="top"/>
    </xf>
    <xf numFmtId="0" fontId="17" fillId="0" borderId="2" xfId="3" applyFont="1" applyFill="1" applyBorder="1" applyAlignment="1">
      <alignment horizontal="left" vertical="top" wrapText="1"/>
    </xf>
    <xf numFmtId="0" fontId="17"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2" fillId="0" borderId="0" xfId="0" applyFont="1" applyAlignment="1">
      <alignment vertical="center"/>
    </xf>
    <xf numFmtId="17" fontId="6" fillId="2" borderId="2" xfId="0" applyNumberFormat="1" applyFont="1" applyFill="1" applyBorder="1" applyAlignment="1">
      <alignment horizontal="right" vertical="top" wrapText="1"/>
    </xf>
    <xf numFmtId="17" fontId="6" fillId="2" borderId="2" xfId="21" applyNumberFormat="1" applyFont="1" applyFill="1" applyBorder="1" applyAlignment="1">
      <alignment horizontal="right" vertical="top" wrapText="1"/>
    </xf>
    <xf numFmtId="0" fontId="6" fillId="0" borderId="10" xfId="0" applyFont="1" applyFill="1" applyBorder="1" applyAlignment="1">
      <alignment horizontal="center" vertical="top"/>
    </xf>
    <xf numFmtId="3" fontId="18" fillId="0" borderId="2" xfId="0" applyNumberFormat="1" applyFont="1" applyBorder="1" applyAlignment="1">
      <alignment vertical="center" wrapText="1"/>
    </xf>
    <xf numFmtId="0" fontId="34" fillId="2" borderId="2" xfId="0" applyFont="1" applyFill="1" applyBorder="1" applyAlignment="1">
      <alignment horizontal="center" vertical="top"/>
    </xf>
    <xf numFmtId="4" fontId="22" fillId="0" borderId="2" xfId="0" quotePrefix="1" applyNumberFormat="1" applyFont="1" applyBorder="1"/>
    <xf numFmtId="0" fontId="16" fillId="0" borderId="2" xfId="0" applyNumberFormat="1" applyFont="1" applyFill="1" applyBorder="1" applyAlignment="1">
      <alignment horizontal="center" vertical="top"/>
    </xf>
    <xf numFmtId="0" fontId="18" fillId="0" borderId="0" xfId="0" applyFont="1"/>
    <xf numFmtId="0" fontId="27" fillId="0" borderId="2" xfId="0" applyFont="1" applyBorder="1" applyAlignment="1">
      <alignment vertical="top" wrapText="1"/>
    </xf>
    <xf numFmtId="0" fontId="22" fillId="0" borderId="2" xfId="0" applyFont="1" applyBorder="1" applyAlignment="1">
      <alignment horizontal="center"/>
    </xf>
    <xf numFmtId="0" fontId="27"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vertical="center"/>
    </xf>
    <xf numFmtId="0" fontId="20" fillId="0" borderId="2" xfId="0" applyFont="1" applyBorder="1" applyAlignment="1">
      <alignment vertical="center" wrapText="1"/>
    </xf>
    <xf numFmtId="0" fontId="22" fillId="0" borderId="2" xfId="0" applyFont="1" applyBorder="1" applyAlignment="1">
      <alignment wrapText="1"/>
    </xf>
    <xf numFmtId="0" fontId="29" fillId="0" borderId="2" xfId="0" applyFont="1" applyBorder="1" applyAlignment="1">
      <alignment horizontal="right" vertical="top" wrapText="1"/>
    </xf>
    <xf numFmtId="0" fontId="29" fillId="2" borderId="2" xfId="0" applyFont="1" applyFill="1" applyBorder="1" applyAlignment="1">
      <alignment horizontal="right" vertical="top" wrapText="1"/>
    </xf>
    <xf numFmtId="0" fontId="29" fillId="0" borderId="2" xfId="0" applyFont="1" applyFill="1" applyBorder="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top" wrapText="1"/>
    </xf>
    <xf numFmtId="0" fontId="29" fillId="0" borderId="2" xfId="0" applyFont="1" applyFill="1" applyBorder="1" applyAlignment="1">
      <alignment horizontal="center" vertical="center"/>
    </xf>
    <xf numFmtId="4" fontId="29" fillId="0" borderId="2" xfId="0" applyNumberFormat="1" applyFont="1" applyFill="1" applyBorder="1" applyAlignment="1">
      <alignment horizontal="right" vertical="top"/>
    </xf>
    <xf numFmtId="4" fontId="29" fillId="0" borderId="2" xfId="0" applyNumberFormat="1" applyFont="1" applyFill="1" applyBorder="1" applyAlignment="1">
      <alignment horizontal="right" vertical="top" wrapText="1"/>
    </xf>
    <xf numFmtId="4" fontId="29" fillId="2" borderId="2" xfId="0" applyNumberFormat="1" applyFont="1" applyFill="1" applyBorder="1" applyAlignment="1">
      <alignment horizontal="right" vertical="top" wrapText="1"/>
    </xf>
    <xf numFmtId="0" fontId="29" fillId="0" borderId="2" xfId="0" applyFont="1" applyFill="1" applyBorder="1" applyAlignment="1">
      <alignment horizontal="right" vertical="top" wrapText="1"/>
    </xf>
    <xf numFmtId="0" fontId="29" fillId="0" borderId="2" xfId="21" applyFont="1" applyBorder="1" applyAlignment="1">
      <alignment horizontal="center" vertical="center"/>
    </xf>
    <xf numFmtId="4" fontId="29" fillId="0" borderId="2" xfId="21" applyNumberFormat="1" applyFont="1" applyFill="1" applyBorder="1" applyAlignment="1">
      <alignment horizontal="right" vertical="top"/>
    </xf>
    <xf numFmtId="0" fontId="29" fillId="0" borderId="2" xfId="21" applyNumberFormat="1" applyFont="1" applyFill="1" applyBorder="1" applyAlignment="1">
      <alignment horizontal="right" vertical="top" wrapText="1"/>
    </xf>
    <xf numFmtId="0" fontId="29" fillId="0" borderId="2" xfId="21" applyFont="1" applyFill="1" applyBorder="1" applyAlignment="1">
      <alignment horizontal="right" vertical="top" wrapText="1"/>
    </xf>
    <xf numFmtId="0" fontId="29" fillId="0" borderId="2" xfId="21" applyFont="1" applyBorder="1" applyAlignment="1">
      <alignment horizontal="right" vertical="top"/>
    </xf>
    <xf numFmtId="49" fontId="29" fillId="0" borderId="2" xfId="0" applyNumberFormat="1" applyFont="1" applyFill="1" applyBorder="1" applyAlignment="1">
      <alignment horizontal="center" vertical="center" wrapText="1"/>
    </xf>
    <xf numFmtId="4" fontId="29" fillId="0" borderId="2" xfId="1" applyNumberFormat="1" applyFont="1" applyFill="1" applyBorder="1" applyAlignment="1">
      <alignment horizontal="right" vertical="top" wrapText="1"/>
    </xf>
    <xf numFmtId="0" fontId="29" fillId="2" borderId="2" xfId="0" applyFont="1" applyFill="1" applyBorder="1" applyAlignment="1">
      <alignment horizontal="left" vertical="top"/>
    </xf>
    <xf numFmtId="0" fontId="29" fillId="2" borderId="2" xfId="0" applyFont="1" applyFill="1" applyBorder="1" applyAlignment="1">
      <alignment horizontal="left" vertical="top" wrapText="1"/>
    </xf>
    <xf numFmtId="0" fontId="29" fillId="2" borderId="2" xfId="0" applyFont="1" applyFill="1" applyBorder="1" applyAlignment="1">
      <alignment horizontal="center" vertical="top" wrapText="1"/>
    </xf>
    <xf numFmtId="4" fontId="29" fillId="2" borderId="2" xfId="0" applyNumberFormat="1" applyFont="1" applyFill="1" applyBorder="1" applyAlignment="1">
      <alignment horizontal="right" vertical="top"/>
    </xf>
    <xf numFmtId="49" fontId="29" fillId="2" borderId="2" xfId="0" applyNumberFormat="1" applyFont="1" applyFill="1" applyBorder="1" applyAlignment="1">
      <alignment horizontal="right" vertical="top" wrapText="1"/>
    </xf>
    <xf numFmtId="0" fontId="29" fillId="0" borderId="2" xfId="0" applyFont="1" applyBorder="1" applyAlignment="1">
      <alignment horizontal="left" vertical="top" wrapText="1"/>
    </xf>
    <xf numFmtId="0" fontId="29" fillId="0" borderId="2" xfId="0" applyFont="1" applyBorder="1" applyAlignment="1">
      <alignment horizontal="center" vertical="top" wrapText="1"/>
    </xf>
    <xf numFmtId="0" fontId="29" fillId="0" borderId="2" xfId="0" applyFont="1" applyBorder="1" applyAlignment="1">
      <alignment horizontal="left" vertical="top"/>
    </xf>
    <xf numFmtId="0" fontId="29" fillId="0" borderId="2" xfId="0" applyFont="1" applyFill="1" applyBorder="1" applyAlignment="1">
      <alignment horizontal="center" vertical="top"/>
    </xf>
    <xf numFmtId="0" fontId="29" fillId="0" borderId="2" xfId="0" applyFont="1" applyBorder="1" applyAlignment="1">
      <alignment horizontal="center" vertical="top"/>
    </xf>
    <xf numFmtId="4" fontId="29" fillId="0" borderId="2" xfId="0" applyNumberFormat="1" applyFont="1" applyBorder="1" applyAlignment="1">
      <alignment horizontal="right" vertical="top"/>
    </xf>
    <xf numFmtId="0" fontId="29" fillId="0" borderId="2" xfId="0" applyFont="1" applyFill="1" applyBorder="1" applyAlignment="1">
      <alignment horizontal="right" vertical="top"/>
    </xf>
    <xf numFmtId="0" fontId="29" fillId="0" borderId="2" xfId="0" applyNumberFormat="1" applyFont="1" applyFill="1" applyBorder="1" applyAlignment="1">
      <alignment horizontal="right" vertical="top" wrapText="1"/>
    </xf>
    <xf numFmtId="4" fontId="29" fillId="0" borderId="2" xfId="21" applyNumberFormat="1" applyFont="1" applyBorder="1" applyAlignment="1">
      <alignment horizontal="right" vertical="top"/>
    </xf>
    <xf numFmtId="0" fontId="29" fillId="0" borderId="2" xfId="23" applyFont="1" applyFill="1" applyBorder="1" applyAlignment="1">
      <alignment horizontal="center" vertical="center" wrapText="1"/>
    </xf>
    <xf numFmtId="0" fontId="29" fillId="0" borderId="2" xfId="23" applyFont="1" applyFill="1" applyBorder="1" applyAlignment="1">
      <alignment horizontal="center" vertical="center"/>
    </xf>
    <xf numFmtId="0" fontId="1" fillId="0" borderId="0" xfId="20"/>
    <xf numFmtId="0" fontId="36" fillId="0" borderId="0" xfId="20" applyFont="1" applyAlignment="1">
      <alignment horizontal="center"/>
    </xf>
    <xf numFmtId="0" fontId="18" fillId="0" borderId="0" xfId="20" applyFont="1" applyAlignment="1">
      <alignment vertical="center"/>
    </xf>
    <xf numFmtId="0" fontId="22" fillId="0" borderId="2" xfId="20" applyFont="1" applyBorder="1"/>
    <xf numFmtId="0" fontId="27" fillId="0" borderId="2" xfId="20" applyFont="1" applyBorder="1" applyAlignment="1">
      <alignment vertical="center"/>
    </xf>
    <xf numFmtId="4" fontId="29" fillId="0" borderId="2" xfId="20" applyNumberFormat="1" applyFont="1" applyBorder="1"/>
    <xf numFmtId="4" fontId="29" fillId="2" borderId="2" xfId="20" applyNumberFormat="1" applyFont="1" applyFill="1" applyBorder="1" applyAlignment="1">
      <alignment vertical="center" wrapText="1"/>
    </xf>
    <xf numFmtId="4" fontId="29" fillId="0" borderId="2" xfId="20" applyNumberFormat="1" applyFont="1" applyBorder="1" applyAlignment="1">
      <alignment vertical="center" wrapText="1"/>
    </xf>
    <xf numFmtId="4" fontId="29" fillId="0" borderId="2" xfId="20" applyNumberFormat="1" applyFont="1" applyBorder="1" applyAlignment="1">
      <alignment vertical="center"/>
    </xf>
    <xf numFmtId="0" fontId="29" fillId="0" borderId="2" xfId="20" applyFont="1" applyBorder="1" applyAlignment="1">
      <alignment vertical="center" wrapText="1"/>
    </xf>
    <xf numFmtId="0" fontId="29" fillId="0" borderId="2" xfId="20" applyFont="1" applyBorder="1" applyAlignment="1">
      <alignment vertical="center"/>
    </xf>
    <xf numFmtId="0" fontId="29" fillId="0" borderId="2" xfId="20" applyFont="1" applyBorder="1"/>
    <xf numFmtId="4" fontId="29" fillId="0" borderId="2" xfId="20" applyNumberFormat="1" applyFont="1" applyBorder="1" applyAlignment="1">
      <alignment wrapText="1"/>
    </xf>
    <xf numFmtId="0" fontId="18" fillId="0" borderId="0" xfId="20" applyFont="1" applyBorder="1" applyAlignment="1">
      <alignment vertical="center" wrapText="1"/>
    </xf>
    <xf numFmtId="0" fontId="1" fillId="0" borderId="0" xfId="20" applyBorder="1"/>
    <xf numFmtId="0" fontId="42" fillId="0" borderId="0" xfId="20" applyFont="1"/>
    <xf numFmtId="0" fontId="29" fillId="0" borderId="2" xfId="0" applyFont="1" applyFill="1" applyBorder="1" applyAlignment="1">
      <alignment horizontal="left" vertical="top"/>
    </xf>
    <xf numFmtId="0" fontId="29" fillId="0" borderId="2" xfId="0" applyNumberFormat="1" applyFont="1" applyFill="1" applyBorder="1" applyAlignment="1">
      <alignment horizontal="center" vertical="top"/>
    </xf>
    <xf numFmtId="0" fontId="29" fillId="0" borderId="2" xfId="3" applyFont="1" applyFill="1" applyBorder="1" applyAlignment="1">
      <alignment horizontal="left" vertical="top" wrapText="1"/>
    </xf>
    <xf numFmtId="0" fontId="29" fillId="0" borderId="2" xfId="21" applyFont="1" applyFill="1" applyBorder="1" applyAlignment="1">
      <alignment horizontal="left" vertical="top"/>
    </xf>
    <xf numFmtId="0" fontId="29" fillId="0" borderId="2" xfId="21" applyFont="1" applyFill="1" applyBorder="1" applyAlignment="1">
      <alignment horizontal="left" vertical="top" wrapText="1"/>
    </xf>
    <xf numFmtId="0" fontId="29" fillId="0" borderId="2" xfId="21" applyFont="1" applyFill="1" applyBorder="1" applyAlignment="1">
      <alignment horizontal="center" vertical="top" wrapText="1"/>
    </xf>
    <xf numFmtId="0" fontId="29" fillId="0" borderId="2" xfId="21" applyFont="1" applyFill="1" applyBorder="1" applyAlignment="1">
      <alignment horizontal="center" vertical="top"/>
    </xf>
    <xf numFmtId="0" fontId="29" fillId="0" borderId="2" xfId="0" applyNumberFormat="1" applyFont="1" applyFill="1" applyBorder="1" applyAlignment="1">
      <alignment horizontal="left" vertical="top"/>
    </xf>
    <xf numFmtId="49" fontId="29" fillId="0" borderId="2" xfId="0" applyNumberFormat="1" applyFont="1" applyFill="1" applyBorder="1" applyAlignment="1">
      <alignment horizontal="center" vertical="top" wrapText="1"/>
    </xf>
    <xf numFmtId="0" fontId="29" fillId="0" borderId="2" xfId="0" applyNumberFormat="1" applyFont="1" applyFill="1" applyBorder="1" applyAlignment="1">
      <alignment horizontal="center" vertical="top" wrapText="1"/>
    </xf>
    <xf numFmtId="0" fontId="29" fillId="0" borderId="2" xfId="23" applyFont="1" applyFill="1" applyBorder="1" applyAlignment="1">
      <alignment horizontal="center" vertical="top" wrapText="1"/>
    </xf>
    <xf numFmtId="0" fontId="29"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2"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0" fontId="3" fillId="0" borderId="2" xfId="0" applyFont="1" applyFill="1" applyBorder="1" applyAlignment="1">
      <alignment horizontal="center" vertical="center" wrapText="1"/>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9"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49" fontId="6" fillId="6" borderId="2" xfId="1" applyNumberFormat="1" applyFont="1" applyFill="1" applyBorder="1" applyAlignment="1">
      <alignment horizontal="right" vertical="top"/>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9"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9"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0" fontId="6" fillId="9" borderId="2" xfId="0" applyFont="1" applyFill="1" applyBorder="1" applyAlignment="1">
      <alignment horizontal="center" vertical="center" wrapText="1"/>
    </xf>
    <xf numFmtId="0" fontId="6" fillId="9" borderId="2" xfId="23" applyFont="1" applyFill="1" applyBorder="1" applyAlignment="1">
      <alignment horizontal="center" vertical="center" wrapText="1"/>
    </xf>
    <xf numFmtId="0" fontId="6" fillId="9" borderId="2" xfId="23" applyFont="1" applyFill="1" applyBorder="1" applyAlignment="1">
      <alignment horizontal="center" vertical="center"/>
    </xf>
    <xf numFmtId="0" fontId="6" fillId="9" borderId="2" xfId="0" applyFont="1" applyFill="1" applyBorder="1" applyAlignment="1">
      <alignment horizontal="right" vertical="top" wrapText="1"/>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8"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4" fillId="0" borderId="0" xfId="0" applyFont="1"/>
    <xf numFmtId="49" fontId="44" fillId="0" borderId="0" xfId="0" applyNumberFormat="1" applyFont="1" applyAlignment="1">
      <alignment horizontal="right" vertical="top"/>
    </xf>
    <xf numFmtId="0" fontId="38" fillId="0" borderId="0" xfId="0" applyFont="1" applyAlignment="1">
      <alignment vertical="center"/>
    </xf>
    <xf numFmtId="0" fontId="39" fillId="9" borderId="2" xfId="0" applyFont="1" applyFill="1" applyBorder="1" applyAlignment="1">
      <alignment wrapText="1"/>
    </xf>
    <xf numFmtId="43" fontId="6" fillId="6" borderId="2" xfId="1" applyFont="1" applyFill="1" applyBorder="1" applyAlignment="1">
      <alignment horizontal="right" vertical="top"/>
    </xf>
    <xf numFmtId="49" fontId="45" fillId="0" borderId="2" xfId="0" applyNumberFormat="1" applyFont="1" applyFill="1" applyBorder="1" applyAlignment="1">
      <alignment horizontal="right" vertical="top" wrapText="1"/>
    </xf>
    <xf numFmtId="0" fontId="46" fillId="0" borderId="2" xfId="0" applyFont="1" applyFill="1" applyBorder="1" applyAlignment="1">
      <alignment horizontal="center" vertical="top"/>
    </xf>
    <xf numFmtId="0" fontId="46" fillId="0" borderId="2" xfId="0" applyFont="1" applyFill="1" applyBorder="1" applyAlignment="1">
      <alignment horizontal="left" vertical="top" wrapText="1"/>
    </xf>
    <xf numFmtId="0" fontId="10" fillId="0" borderId="2" xfId="0" applyFont="1" applyBorder="1"/>
    <xf numFmtId="0" fontId="29" fillId="0" borderId="2" xfId="20" applyFont="1" applyBorder="1" applyAlignment="1">
      <alignment vertical="center" wrapText="1"/>
    </xf>
    <xf numFmtId="0" fontId="27" fillId="0" borderId="2" xfId="20" applyFont="1" applyBorder="1" applyAlignment="1">
      <alignment horizontal="center" vertical="center"/>
    </xf>
    <xf numFmtId="0" fontId="27" fillId="0" borderId="2" xfId="20" applyFont="1" applyBorder="1" applyAlignment="1">
      <alignment horizontal="center" vertical="center" wrapText="1"/>
    </xf>
    <xf numFmtId="0" fontId="22" fillId="0" borderId="0" xfId="20" applyFont="1" applyAlignment="1">
      <alignment horizontal="left" vertical="center"/>
    </xf>
    <xf numFmtId="0" fontId="22" fillId="0" borderId="0" xfId="20" applyFont="1" applyAlignment="1">
      <alignment vertical="center"/>
    </xf>
    <xf numFmtId="0" fontId="18" fillId="0" borderId="0" xfId="20" applyFont="1" applyAlignment="1">
      <alignment horizontal="center"/>
    </xf>
    <xf numFmtId="49" fontId="15" fillId="0" borderId="13" xfId="0" applyNumberFormat="1" applyFont="1" applyFill="1" applyBorder="1" applyAlignment="1">
      <alignment wrapText="1"/>
    </xf>
    <xf numFmtId="0" fontId="15" fillId="0" borderId="0" xfId="0" applyFont="1" applyFill="1" applyAlignment="1">
      <alignment wrapText="1"/>
    </xf>
    <xf numFmtId="49" fontId="10" fillId="0" borderId="13" xfId="0" applyNumberFormat="1" applyFont="1" applyFill="1" applyBorder="1" applyAlignment="1">
      <alignment wrapText="1"/>
    </xf>
    <xf numFmtId="0" fontId="10" fillId="0" borderId="0" xfId="0" applyFont="1" applyFill="1" applyAlignment="1">
      <alignment wrapText="1"/>
    </xf>
    <xf numFmtId="0" fontId="10" fillId="0" borderId="13" xfId="0" applyFont="1" applyFill="1" applyBorder="1" applyAlignment="1">
      <alignment wrapText="1"/>
    </xf>
    <xf numFmtId="0" fontId="11" fillId="0" borderId="0" xfId="0" applyFont="1" applyFill="1" applyBorder="1" applyAlignment="1">
      <alignment horizontal="left" vertical="top" wrapText="1"/>
    </xf>
    <xf numFmtId="0" fontId="29" fillId="0" borderId="0" xfId="0" applyFont="1" applyAlignment="1">
      <alignment horizontal="left" vertical="center"/>
    </xf>
    <xf numFmtId="0" fontId="29" fillId="0" borderId="0" xfId="0" applyFont="1" applyAlignment="1">
      <alignment vertical="center"/>
    </xf>
    <xf numFmtId="0" fontId="38" fillId="0" borderId="2"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vertical="center"/>
    </xf>
    <xf numFmtId="0" fontId="40"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2" fillId="0" borderId="8" xfId="0" applyFont="1" applyBorder="1" applyAlignment="1">
      <alignment horizontal="righ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Comma" xfId="1" builtinId="3"/>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2" xfId="13"/>
    <cellStyle name="Kablelis 2 2" xfId="14"/>
    <cellStyle name="Kablelis 2 3" xfId="15"/>
    <cellStyle name="Kablelis 3" xfId="16"/>
    <cellStyle name="Kablelis 4" xfId="17"/>
    <cellStyle name="Kablelis 5" xfId="18"/>
    <cellStyle name="Kablelis 6" xfId="19"/>
    <cellStyle name="Normal" xfId="0" builtinId="0"/>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6"/>
  <sheetViews>
    <sheetView tabSelected="1" topLeftCell="B157" zoomScale="115" zoomScaleNormal="115" workbookViewId="0">
      <selection activeCell="N81" sqref="N81"/>
    </sheetView>
  </sheetViews>
  <sheetFormatPr defaultRowHeight="15" x14ac:dyDescent="0.25"/>
  <cols>
    <col min="1" max="1" width="4.28515625" style="359" hidden="1" customWidth="1"/>
    <col min="2" max="2" width="9.140625" style="359"/>
    <col min="3" max="3" width="42.28515625" style="359" customWidth="1"/>
    <col min="4" max="4" width="11" style="359" customWidth="1"/>
    <col min="5" max="7" width="7.5703125" style="359" customWidth="1"/>
    <col min="8" max="9" width="11.140625" style="359" bestFit="1" customWidth="1"/>
    <col min="10" max="11" width="11.85546875" style="359" bestFit="1" customWidth="1"/>
    <col min="12" max="12" width="11.140625" style="359" bestFit="1" customWidth="1"/>
    <col min="13" max="13" width="12.28515625" style="359" customWidth="1"/>
    <col min="14" max="15" width="10.28515625" style="359" bestFit="1" customWidth="1"/>
    <col min="16" max="17" width="7.5703125" style="359" customWidth="1"/>
    <col min="18" max="18" width="16.85546875" style="359" bestFit="1" customWidth="1"/>
    <col min="19" max="19" width="12" style="359" customWidth="1"/>
    <col min="20" max="20" width="11.85546875" style="359" customWidth="1"/>
    <col min="21" max="21" width="12.5703125" style="359" customWidth="1"/>
    <col min="22" max="22" width="11.42578125" style="359" customWidth="1"/>
    <col min="23" max="16384" width="9.140625" style="359"/>
  </cols>
  <sheetData>
    <row r="1" spans="1:19" ht="15.75" customHeight="1" x14ac:dyDescent="0.25">
      <c r="B1" s="374" t="s">
        <v>1884</v>
      </c>
      <c r="P1" s="487" t="s">
        <v>439</v>
      </c>
      <c r="Q1" s="487"/>
      <c r="R1" s="487"/>
      <c r="S1" s="487"/>
    </row>
    <row r="2" spans="1:19" ht="15.75" customHeight="1" x14ac:dyDescent="0.25">
      <c r="P2" s="488" t="s">
        <v>440</v>
      </c>
      <c r="Q2" s="488"/>
      <c r="R2" s="488"/>
      <c r="S2" s="488"/>
    </row>
    <row r="3" spans="1:19" ht="15.75" customHeight="1" x14ac:dyDescent="0.25">
      <c r="P3" s="488" t="s">
        <v>441</v>
      </c>
      <c r="Q3" s="488"/>
      <c r="R3" s="488"/>
      <c r="S3" s="488"/>
    </row>
    <row r="5" spans="1:19" ht="15.75" x14ac:dyDescent="0.25">
      <c r="B5" s="489" t="s">
        <v>442</v>
      </c>
      <c r="C5" s="489"/>
      <c r="D5" s="489"/>
      <c r="E5" s="489"/>
      <c r="F5" s="489"/>
      <c r="G5" s="489"/>
      <c r="H5" s="489"/>
      <c r="I5" s="489"/>
      <c r="J5" s="489"/>
      <c r="K5" s="489"/>
      <c r="L5" s="489"/>
      <c r="M5" s="489"/>
      <c r="N5" s="489"/>
      <c r="O5" s="489"/>
      <c r="P5" s="489"/>
      <c r="Q5" s="489"/>
      <c r="R5" s="489"/>
      <c r="S5" s="489"/>
    </row>
    <row r="6" spans="1:19" x14ac:dyDescent="0.25">
      <c r="B6" s="360"/>
      <c r="C6" s="360"/>
      <c r="D6" s="360"/>
      <c r="E6" s="360"/>
      <c r="F6" s="360"/>
      <c r="G6" s="360"/>
      <c r="H6" s="360"/>
      <c r="I6" s="360"/>
      <c r="J6" s="360"/>
      <c r="K6" s="360"/>
      <c r="L6" s="360"/>
      <c r="M6" s="360"/>
      <c r="N6" s="360"/>
      <c r="O6" s="360"/>
    </row>
    <row r="7" spans="1:19" ht="15.75" x14ac:dyDescent="0.25">
      <c r="B7" s="361" t="s">
        <v>443</v>
      </c>
    </row>
    <row r="8" spans="1:19" ht="38.25" customHeight="1" x14ac:dyDescent="0.25">
      <c r="B8" s="362"/>
      <c r="C8" s="362"/>
      <c r="D8" s="485" t="s">
        <v>444</v>
      </c>
      <c r="E8" s="485"/>
      <c r="F8" s="485" t="s">
        <v>445</v>
      </c>
      <c r="G8" s="485"/>
      <c r="H8" s="485" t="s">
        <v>446</v>
      </c>
      <c r="I8" s="485"/>
      <c r="J8" s="485" t="s">
        <v>447</v>
      </c>
      <c r="K8" s="485"/>
      <c r="L8" s="485" t="s">
        <v>448</v>
      </c>
      <c r="M8" s="485"/>
      <c r="N8" s="485" t="s">
        <v>449</v>
      </c>
      <c r="O8" s="485"/>
      <c r="P8" s="485" t="s">
        <v>450</v>
      </c>
      <c r="Q8" s="485"/>
      <c r="R8" s="486" t="s">
        <v>451</v>
      </c>
      <c r="S8" s="486"/>
    </row>
    <row r="9" spans="1:19" x14ac:dyDescent="0.25">
      <c r="B9" s="363" t="s">
        <v>1525</v>
      </c>
      <c r="C9" s="363" t="s">
        <v>452</v>
      </c>
      <c r="D9" s="363" t="s">
        <v>306</v>
      </c>
      <c r="E9" s="363" t="s">
        <v>1526</v>
      </c>
      <c r="F9" s="363" t="s">
        <v>306</v>
      </c>
      <c r="G9" s="363" t="s">
        <v>1526</v>
      </c>
      <c r="H9" s="363" t="s">
        <v>306</v>
      </c>
      <c r="I9" s="363" t="s">
        <v>1526</v>
      </c>
      <c r="J9" s="363" t="s">
        <v>306</v>
      </c>
      <c r="K9" s="363" t="s">
        <v>1526</v>
      </c>
      <c r="L9" s="363" t="s">
        <v>306</v>
      </c>
      <c r="M9" s="363" t="s">
        <v>1526</v>
      </c>
      <c r="N9" s="363" t="s">
        <v>306</v>
      </c>
      <c r="O9" s="363" t="s">
        <v>1526</v>
      </c>
      <c r="P9" s="363" t="s">
        <v>306</v>
      </c>
      <c r="Q9" s="363" t="s">
        <v>1526</v>
      </c>
      <c r="R9" s="363" t="s">
        <v>306</v>
      </c>
      <c r="S9" s="363" t="s">
        <v>1526</v>
      </c>
    </row>
    <row r="10" spans="1:19" x14ac:dyDescent="0.25">
      <c r="A10" s="447"/>
      <c r="B10" s="465" t="s">
        <v>1610</v>
      </c>
      <c r="C10" s="466" t="s">
        <v>1625</v>
      </c>
      <c r="D10" s="364">
        <f t="shared" ref="D10:Q10" si="0">D11+D22+D30+D36</f>
        <v>1255091</v>
      </c>
      <c r="E10" s="364">
        <f t="shared" si="0"/>
        <v>0</v>
      </c>
      <c r="F10" s="364">
        <f t="shared" si="0"/>
        <v>0</v>
      </c>
      <c r="G10" s="364">
        <f t="shared" si="0"/>
        <v>0</v>
      </c>
      <c r="H10" s="364">
        <f t="shared" si="0"/>
        <v>16520017.190000001</v>
      </c>
      <c r="I10" s="364">
        <f t="shared" si="0"/>
        <v>13839111.48</v>
      </c>
      <c r="J10" s="364">
        <f t="shared" si="0"/>
        <v>32246631.099999998</v>
      </c>
      <c r="K10" s="364">
        <f t="shared" si="0"/>
        <v>23533071.080000002</v>
      </c>
      <c r="L10" s="364">
        <f t="shared" si="0"/>
        <v>68699505.189999998</v>
      </c>
      <c r="M10" s="364">
        <f t="shared" si="0"/>
        <v>52016184.5</v>
      </c>
      <c r="N10" s="364">
        <f t="shared" si="0"/>
        <v>2094235.52</v>
      </c>
      <c r="O10" s="364">
        <f t="shared" si="0"/>
        <v>1780099.8299999998</v>
      </c>
      <c r="P10" s="364">
        <f t="shared" si="0"/>
        <v>0</v>
      </c>
      <c r="Q10" s="364">
        <f t="shared" si="0"/>
        <v>0</v>
      </c>
      <c r="R10" s="364">
        <f t="shared" ref="R10:R41" si="1">D10+F10+H10+J10+L10+N10+P10</f>
        <v>120815479.99999999</v>
      </c>
      <c r="S10" s="364">
        <f t="shared" ref="S10:S41" si="2">E10+G10+I10+K10+M10+O10+Q10</f>
        <v>91168466.890000001</v>
      </c>
    </row>
    <row r="11" spans="1:19" ht="36" x14ac:dyDescent="0.25">
      <c r="A11" s="447"/>
      <c r="B11" s="465" t="s">
        <v>1529</v>
      </c>
      <c r="C11" s="466" t="s">
        <v>1614</v>
      </c>
      <c r="D11" s="365">
        <f t="shared" ref="D11:Q11" si="3">D12+D16</f>
        <v>0</v>
      </c>
      <c r="E11" s="365">
        <f t="shared" si="3"/>
        <v>0</v>
      </c>
      <c r="F11" s="365">
        <f t="shared" si="3"/>
        <v>0</v>
      </c>
      <c r="G11" s="365">
        <f t="shared" si="3"/>
        <v>0</v>
      </c>
      <c r="H11" s="365">
        <f t="shared" si="3"/>
        <v>0</v>
      </c>
      <c r="I11" s="365">
        <f t="shared" si="3"/>
        <v>0</v>
      </c>
      <c r="J11" s="365">
        <f t="shared" si="3"/>
        <v>5000000</v>
      </c>
      <c r="K11" s="365">
        <f t="shared" si="3"/>
        <v>4250000</v>
      </c>
      <c r="L11" s="365">
        <f t="shared" si="3"/>
        <v>8500000</v>
      </c>
      <c r="M11" s="365">
        <f t="shared" si="3"/>
        <v>7225000</v>
      </c>
      <c r="N11" s="365">
        <f t="shared" si="3"/>
        <v>0</v>
      </c>
      <c r="O11" s="365">
        <f t="shared" si="3"/>
        <v>0</v>
      </c>
      <c r="P11" s="365">
        <f t="shared" si="3"/>
        <v>0</v>
      </c>
      <c r="Q11" s="365">
        <f t="shared" si="3"/>
        <v>0</v>
      </c>
      <c r="R11" s="364">
        <f t="shared" si="1"/>
        <v>13500000</v>
      </c>
      <c r="S11" s="364">
        <f t="shared" si="2"/>
        <v>11475000</v>
      </c>
    </row>
    <row r="12" spans="1:19" ht="36" x14ac:dyDescent="0.25">
      <c r="A12" s="447"/>
      <c r="B12" s="465" t="s">
        <v>1527</v>
      </c>
      <c r="C12" s="467" t="s">
        <v>1615</v>
      </c>
      <c r="D12" s="365">
        <f t="shared" ref="D12:Q12" si="4">D13+D14+D15</f>
        <v>0</v>
      </c>
      <c r="E12" s="365">
        <f t="shared" si="4"/>
        <v>0</v>
      </c>
      <c r="F12" s="365">
        <f t="shared" si="4"/>
        <v>0</v>
      </c>
      <c r="G12" s="365">
        <f t="shared" si="4"/>
        <v>0</v>
      </c>
      <c r="H12" s="365">
        <f t="shared" si="4"/>
        <v>0</v>
      </c>
      <c r="I12" s="365">
        <f t="shared" si="4"/>
        <v>0</v>
      </c>
      <c r="J12" s="365">
        <f t="shared" si="4"/>
        <v>0</v>
      </c>
      <c r="K12" s="365">
        <f t="shared" si="4"/>
        <v>0</v>
      </c>
      <c r="L12" s="365">
        <f t="shared" si="4"/>
        <v>0</v>
      </c>
      <c r="M12" s="365">
        <f t="shared" si="4"/>
        <v>0</v>
      </c>
      <c r="N12" s="365">
        <f t="shared" si="4"/>
        <v>0</v>
      </c>
      <c r="O12" s="365">
        <f t="shared" si="4"/>
        <v>0</v>
      </c>
      <c r="P12" s="365">
        <f t="shared" si="4"/>
        <v>0</v>
      </c>
      <c r="Q12" s="365">
        <f t="shared" si="4"/>
        <v>0</v>
      </c>
      <c r="R12" s="364">
        <f t="shared" si="1"/>
        <v>0</v>
      </c>
      <c r="S12" s="364">
        <f t="shared" si="2"/>
        <v>0</v>
      </c>
    </row>
    <row r="13" spans="1:19" ht="36" x14ac:dyDescent="0.25">
      <c r="A13" s="447"/>
      <c r="B13" s="468" t="s">
        <v>1673</v>
      </c>
      <c r="C13" s="467" t="s">
        <v>214</v>
      </c>
      <c r="D13" s="366"/>
      <c r="E13" s="366"/>
      <c r="F13" s="366"/>
      <c r="G13" s="366"/>
      <c r="H13" s="366"/>
      <c r="I13" s="366"/>
      <c r="J13" s="366"/>
      <c r="K13" s="366"/>
      <c r="L13" s="366"/>
      <c r="M13" s="366"/>
      <c r="N13" s="366"/>
      <c r="O13" s="366"/>
      <c r="P13" s="366"/>
      <c r="Q13" s="366"/>
      <c r="R13" s="364">
        <f t="shared" si="1"/>
        <v>0</v>
      </c>
      <c r="S13" s="364">
        <f t="shared" si="2"/>
        <v>0</v>
      </c>
    </row>
    <row r="14" spans="1:19" ht="24" x14ac:dyDescent="0.25">
      <c r="A14" s="447"/>
      <c r="B14" s="468" t="s">
        <v>1530</v>
      </c>
      <c r="C14" s="467" t="s">
        <v>215</v>
      </c>
      <c r="D14" s="366"/>
      <c r="E14" s="366"/>
      <c r="F14" s="366"/>
      <c r="G14" s="366"/>
      <c r="H14" s="366"/>
      <c r="I14" s="366"/>
      <c r="J14" s="366"/>
      <c r="K14" s="366"/>
      <c r="L14" s="366"/>
      <c r="M14" s="366"/>
      <c r="N14" s="366"/>
      <c r="O14" s="366"/>
      <c r="P14" s="366"/>
      <c r="Q14" s="366"/>
      <c r="R14" s="364">
        <f t="shared" si="1"/>
        <v>0</v>
      </c>
      <c r="S14" s="364">
        <f t="shared" si="2"/>
        <v>0</v>
      </c>
    </row>
    <row r="15" spans="1:19" ht="24" x14ac:dyDescent="0.25">
      <c r="A15" s="447"/>
      <c r="B15" s="468" t="s">
        <v>1531</v>
      </c>
      <c r="C15" s="467" t="s">
        <v>216</v>
      </c>
      <c r="D15" s="365"/>
      <c r="E15" s="365"/>
      <c r="F15" s="365"/>
      <c r="G15" s="365"/>
      <c r="H15" s="365"/>
      <c r="I15" s="365"/>
      <c r="J15" s="365"/>
      <c r="K15" s="365"/>
      <c r="L15" s="365"/>
      <c r="M15" s="365"/>
      <c r="N15" s="365"/>
      <c r="O15" s="365"/>
      <c r="P15" s="365"/>
      <c r="Q15" s="365"/>
      <c r="R15" s="364">
        <f t="shared" si="1"/>
        <v>0</v>
      </c>
      <c r="S15" s="364">
        <f t="shared" si="2"/>
        <v>0</v>
      </c>
    </row>
    <row r="16" spans="1:19" ht="48" x14ac:dyDescent="0.25">
      <c r="A16" s="447"/>
      <c r="B16" s="465" t="s">
        <v>1528</v>
      </c>
      <c r="C16" s="467" t="s">
        <v>1616</v>
      </c>
      <c r="D16" s="366">
        <f t="shared" ref="D16:Q16" si="5">D17+D18+D19+D20+D21</f>
        <v>0</v>
      </c>
      <c r="E16" s="366">
        <f t="shared" si="5"/>
        <v>0</v>
      </c>
      <c r="F16" s="366">
        <f t="shared" si="5"/>
        <v>0</v>
      </c>
      <c r="G16" s="366">
        <f t="shared" si="5"/>
        <v>0</v>
      </c>
      <c r="H16" s="366">
        <f t="shared" si="5"/>
        <v>0</v>
      </c>
      <c r="I16" s="366">
        <f t="shared" si="5"/>
        <v>0</v>
      </c>
      <c r="J16" s="366">
        <f t="shared" si="5"/>
        <v>5000000</v>
      </c>
      <c r="K16" s="366">
        <f t="shared" si="5"/>
        <v>4250000</v>
      </c>
      <c r="L16" s="366">
        <f t="shared" si="5"/>
        <v>8500000</v>
      </c>
      <c r="M16" s="366">
        <f t="shared" si="5"/>
        <v>7225000</v>
      </c>
      <c r="N16" s="366">
        <f t="shared" si="5"/>
        <v>0</v>
      </c>
      <c r="O16" s="366">
        <f t="shared" si="5"/>
        <v>0</v>
      </c>
      <c r="P16" s="366">
        <f t="shared" si="5"/>
        <v>0</v>
      </c>
      <c r="Q16" s="366">
        <f t="shared" si="5"/>
        <v>0</v>
      </c>
      <c r="R16" s="364">
        <f t="shared" si="1"/>
        <v>13500000</v>
      </c>
      <c r="S16" s="364">
        <f t="shared" si="2"/>
        <v>11475000</v>
      </c>
    </row>
    <row r="17" spans="1:19" ht="24" x14ac:dyDescent="0.25">
      <c r="A17" s="447"/>
      <c r="B17" s="468" t="s">
        <v>1674</v>
      </c>
      <c r="C17" s="467" t="s">
        <v>217</v>
      </c>
      <c r="D17" s="365"/>
      <c r="E17" s="365"/>
      <c r="F17" s="365"/>
      <c r="G17" s="365"/>
      <c r="H17" s="365"/>
      <c r="I17" s="365"/>
      <c r="J17" s="365">
        <f>'2 lentele'!K17</f>
        <v>5000000</v>
      </c>
      <c r="K17" s="365">
        <f>'2 lentele'!P17</f>
        <v>4250000</v>
      </c>
      <c r="L17" s="365">
        <f>'2 lentele'!K16+'2 lentele'!K15</f>
        <v>8500000</v>
      </c>
      <c r="M17" s="365">
        <f>'2 lentele'!P15+'2 lentele'!P16</f>
        <v>7225000</v>
      </c>
      <c r="N17" s="365"/>
      <c r="O17" s="365"/>
      <c r="P17" s="365"/>
      <c r="Q17" s="365"/>
      <c r="R17" s="364">
        <f t="shared" si="1"/>
        <v>13500000</v>
      </c>
      <c r="S17" s="364">
        <f t="shared" si="2"/>
        <v>11475000</v>
      </c>
    </row>
    <row r="18" spans="1:19" ht="36" x14ac:dyDescent="0.25">
      <c r="A18" s="447"/>
      <c r="B18" s="468" t="s">
        <v>1675</v>
      </c>
      <c r="C18" s="467" t="s">
        <v>218</v>
      </c>
      <c r="D18" s="365"/>
      <c r="E18" s="365"/>
      <c r="F18" s="365"/>
      <c r="G18" s="365"/>
      <c r="H18" s="365"/>
      <c r="I18" s="365"/>
      <c r="J18" s="365"/>
      <c r="K18" s="365"/>
      <c r="L18" s="365"/>
      <c r="M18" s="365"/>
      <c r="N18" s="365"/>
      <c r="O18" s="365"/>
      <c r="P18" s="365"/>
      <c r="Q18" s="365"/>
      <c r="R18" s="364">
        <f t="shared" si="1"/>
        <v>0</v>
      </c>
      <c r="S18" s="364">
        <f t="shared" si="2"/>
        <v>0</v>
      </c>
    </row>
    <row r="19" spans="1:19" ht="24" x14ac:dyDescent="0.25">
      <c r="A19" s="447"/>
      <c r="B19" s="468" t="s">
        <v>1676</v>
      </c>
      <c r="C19" s="467" t="s">
        <v>219</v>
      </c>
      <c r="D19" s="366"/>
      <c r="E19" s="366"/>
      <c r="F19" s="366"/>
      <c r="G19" s="366"/>
      <c r="H19" s="366"/>
      <c r="I19" s="366"/>
      <c r="J19" s="366"/>
      <c r="K19" s="366"/>
      <c r="L19" s="366"/>
      <c r="M19" s="366"/>
      <c r="N19" s="366"/>
      <c r="O19" s="366"/>
      <c r="P19" s="366"/>
      <c r="Q19" s="366"/>
      <c r="R19" s="364">
        <f t="shared" si="1"/>
        <v>0</v>
      </c>
      <c r="S19" s="364">
        <f t="shared" si="2"/>
        <v>0</v>
      </c>
    </row>
    <row r="20" spans="1:19" ht="24" x14ac:dyDescent="0.25">
      <c r="A20" s="447"/>
      <c r="B20" s="468" t="s">
        <v>1677</v>
      </c>
      <c r="C20" s="467" t="s">
        <v>220</v>
      </c>
      <c r="D20" s="366"/>
      <c r="E20" s="366"/>
      <c r="F20" s="366"/>
      <c r="G20" s="367"/>
      <c r="H20" s="367"/>
      <c r="I20" s="367"/>
      <c r="J20" s="367"/>
      <c r="K20" s="367"/>
      <c r="L20" s="367"/>
      <c r="M20" s="367"/>
      <c r="N20" s="367"/>
      <c r="O20" s="367"/>
      <c r="P20" s="367"/>
      <c r="Q20" s="367"/>
      <c r="R20" s="364">
        <f t="shared" si="1"/>
        <v>0</v>
      </c>
      <c r="S20" s="364">
        <f t="shared" si="2"/>
        <v>0</v>
      </c>
    </row>
    <row r="21" spans="1:19" x14ac:dyDescent="0.25">
      <c r="A21" s="447"/>
      <c r="B21" s="468" t="s">
        <v>1678</v>
      </c>
      <c r="C21" s="467" t="s">
        <v>221</v>
      </c>
      <c r="D21" s="366"/>
      <c r="E21" s="366"/>
      <c r="F21" s="366"/>
      <c r="G21" s="367"/>
      <c r="H21" s="367"/>
      <c r="I21" s="367"/>
      <c r="J21" s="367"/>
      <c r="K21" s="367"/>
      <c r="L21" s="367"/>
      <c r="M21" s="367"/>
      <c r="N21" s="367"/>
      <c r="O21" s="367"/>
      <c r="P21" s="367"/>
      <c r="Q21" s="367"/>
      <c r="R21" s="364">
        <f t="shared" si="1"/>
        <v>0</v>
      </c>
      <c r="S21" s="364">
        <f t="shared" si="2"/>
        <v>0</v>
      </c>
    </row>
    <row r="22" spans="1:19" ht="36" x14ac:dyDescent="0.25">
      <c r="A22" s="447"/>
      <c r="B22" s="465" t="s">
        <v>1611</v>
      </c>
      <c r="C22" s="466" t="s">
        <v>1552</v>
      </c>
      <c r="D22" s="366">
        <f t="shared" ref="D22:Q22" si="6">D23+D26</f>
        <v>1255091</v>
      </c>
      <c r="E22" s="366">
        <f t="shared" si="6"/>
        <v>0</v>
      </c>
      <c r="F22" s="366">
        <f t="shared" si="6"/>
        <v>0</v>
      </c>
      <c r="G22" s="366">
        <f t="shared" si="6"/>
        <v>0</v>
      </c>
      <c r="H22" s="366">
        <f t="shared" si="6"/>
        <v>3422579.0700000003</v>
      </c>
      <c r="I22" s="366">
        <f t="shared" si="6"/>
        <v>2827404.63</v>
      </c>
      <c r="J22" s="366">
        <f t="shared" si="6"/>
        <v>10813788.33</v>
      </c>
      <c r="K22" s="366">
        <f t="shared" si="6"/>
        <v>7531987.1600000001</v>
      </c>
      <c r="L22" s="366">
        <f t="shared" si="6"/>
        <v>21827239.440000001</v>
      </c>
      <c r="M22" s="366">
        <f t="shared" si="6"/>
        <v>18102487.629999999</v>
      </c>
      <c r="N22" s="366">
        <f t="shared" si="6"/>
        <v>0</v>
      </c>
      <c r="O22" s="366">
        <f t="shared" si="6"/>
        <v>0</v>
      </c>
      <c r="P22" s="366">
        <f t="shared" si="6"/>
        <v>0</v>
      </c>
      <c r="Q22" s="366">
        <f t="shared" si="6"/>
        <v>0</v>
      </c>
      <c r="R22" s="364">
        <f t="shared" si="1"/>
        <v>37318697.840000004</v>
      </c>
      <c r="S22" s="364">
        <f t="shared" si="2"/>
        <v>28461879.419999998</v>
      </c>
    </row>
    <row r="23" spans="1:19" ht="36" x14ac:dyDescent="0.25">
      <c r="A23" s="447"/>
      <c r="B23" s="465" t="s">
        <v>940</v>
      </c>
      <c r="C23" s="466" t="s">
        <v>1553</v>
      </c>
      <c r="D23" s="366">
        <f t="shared" ref="D23:Q23" si="7">D24+D25</f>
        <v>260658</v>
      </c>
      <c r="E23" s="366">
        <f t="shared" si="7"/>
        <v>0</v>
      </c>
      <c r="F23" s="366">
        <f t="shared" si="7"/>
        <v>0</v>
      </c>
      <c r="G23" s="366">
        <f t="shared" si="7"/>
        <v>0</v>
      </c>
      <c r="H23" s="366">
        <f t="shared" si="7"/>
        <v>0</v>
      </c>
      <c r="I23" s="366">
        <f t="shared" si="7"/>
        <v>0</v>
      </c>
      <c r="J23" s="366">
        <f t="shared" si="7"/>
        <v>2885437.81</v>
      </c>
      <c r="K23" s="366">
        <f t="shared" si="7"/>
        <v>1198165.5</v>
      </c>
      <c r="L23" s="366">
        <f t="shared" si="7"/>
        <v>2563950</v>
      </c>
      <c r="M23" s="366">
        <f t="shared" si="7"/>
        <v>2179356</v>
      </c>
      <c r="N23" s="366">
        <f t="shared" si="7"/>
        <v>0</v>
      </c>
      <c r="O23" s="366">
        <f t="shared" si="7"/>
        <v>0</v>
      </c>
      <c r="P23" s="366">
        <f t="shared" si="7"/>
        <v>0</v>
      </c>
      <c r="Q23" s="366">
        <f t="shared" si="7"/>
        <v>0</v>
      </c>
      <c r="R23" s="364">
        <f t="shared" si="1"/>
        <v>5710045.8100000005</v>
      </c>
      <c r="S23" s="364">
        <f t="shared" si="2"/>
        <v>3377521.5</v>
      </c>
    </row>
    <row r="24" spans="1:19" ht="24" x14ac:dyDescent="0.25">
      <c r="A24" s="447"/>
      <c r="B24" s="465" t="s">
        <v>941</v>
      </c>
      <c r="C24" s="466" t="s">
        <v>1593</v>
      </c>
      <c r="D24" s="366">
        <f>'2 lentele'!K25</f>
        <v>260658</v>
      </c>
      <c r="E24" s="366"/>
      <c r="F24" s="366"/>
      <c r="G24" s="367"/>
      <c r="H24" s="367"/>
      <c r="I24" s="367"/>
      <c r="J24" s="367">
        <f>'2 lentele'!K27+'2 lentele'!K29+'2 lentele'!K30+'2 lentele'!K32+'2 lentele'!K33+'2 lentele'!K34</f>
        <v>2885437.81</v>
      </c>
      <c r="K24" s="367">
        <f>'2 lentele'!P34+'2 lentele'!P33+'2 lentele'!P32+'2 lentele'!P30+'2 lentele'!P29+'2 lentele'!P27</f>
        <v>1198165.5</v>
      </c>
      <c r="L24" s="367">
        <f>'2 lentele'!K26+'2 lentele'!K28+'2 lentele'!K31</f>
        <v>2563950</v>
      </c>
      <c r="M24" s="367">
        <f>'2 lentele'!P26+'2 lentele'!P28+'2 lentele'!P31</f>
        <v>2179356</v>
      </c>
      <c r="N24" s="367"/>
      <c r="O24" s="367"/>
      <c r="P24" s="367"/>
      <c r="Q24" s="367"/>
      <c r="R24" s="364">
        <f t="shared" si="1"/>
        <v>5710045.8100000005</v>
      </c>
      <c r="S24" s="364">
        <f t="shared" si="2"/>
        <v>3377521.5</v>
      </c>
    </row>
    <row r="25" spans="1:19" ht="36" x14ac:dyDescent="0.25">
      <c r="A25" s="447"/>
      <c r="B25" s="465" t="s">
        <v>954</v>
      </c>
      <c r="C25" s="466" t="s">
        <v>1595</v>
      </c>
      <c r="D25" s="366"/>
      <c r="E25" s="366"/>
      <c r="F25" s="366"/>
      <c r="G25" s="367"/>
      <c r="H25" s="367"/>
      <c r="I25" s="367"/>
      <c r="J25" s="367"/>
      <c r="K25" s="367"/>
      <c r="L25" s="367"/>
      <c r="M25" s="367"/>
      <c r="N25" s="367"/>
      <c r="O25" s="367"/>
      <c r="P25" s="367"/>
      <c r="Q25" s="367"/>
      <c r="R25" s="364">
        <f t="shared" si="1"/>
        <v>0</v>
      </c>
      <c r="S25" s="364">
        <f t="shared" si="2"/>
        <v>0</v>
      </c>
    </row>
    <row r="26" spans="1:19" ht="36" x14ac:dyDescent="0.25">
      <c r="A26" s="447"/>
      <c r="B26" s="465" t="s">
        <v>955</v>
      </c>
      <c r="C26" s="466" t="s">
        <v>1532</v>
      </c>
      <c r="D26" s="366">
        <f t="shared" ref="D26:Q26" si="8">D27+D28+D29</f>
        <v>994433</v>
      </c>
      <c r="E26" s="366">
        <f t="shared" si="8"/>
        <v>0</v>
      </c>
      <c r="F26" s="366">
        <f t="shared" si="8"/>
        <v>0</v>
      </c>
      <c r="G26" s="366">
        <f t="shared" si="8"/>
        <v>0</v>
      </c>
      <c r="H26" s="366">
        <f t="shared" si="8"/>
        <v>3422579.0700000003</v>
      </c>
      <c r="I26" s="366">
        <f t="shared" si="8"/>
        <v>2827404.63</v>
      </c>
      <c r="J26" s="366">
        <f t="shared" si="8"/>
        <v>7928350.5200000005</v>
      </c>
      <c r="K26" s="366">
        <f t="shared" si="8"/>
        <v>6333821.6600000001</v>
      </c>
      <c r="L26" s="366">
        <f t="shared" si="8"/>
        <v>19263289.440000001</v>
      </c>
      <c r="M26" s="366">
        <f t="shared" si="8"/>
        <v>15923131.629999999</v>
      </c>
      <c r="N26" s="366">
        <f t="shared" si="8"/>
        <v>0</v>
      </c>
      <c r="O26" s="366">
        <f t="shared" si="8"/>
        <v>0</v>
      </c>
      <c r="P26" s="366">
        <f t="shared" si="8"/>
        <v>0</v>
      </c>
      <c r="Q26" s="366">
        <f t="shared" si="8"/>
        <v>0</v>
      </c>
      <c r="R26" s="364">
        <f t="shared" si="1"/>
        <v>31608652.030000001</v>
      </c>
      <c r="S26" s="364">
        <f t="shared" si="2"/>
        <v>25084357.919999998</v>
      </c>
    </row>
    <row r="27" spans="1:19" ht="24" x14ac:dyDescent="0.25">
      <c r="A27" s="447"/>
      <c r="B27" s="465" t="s">
        <v>956</v>
      </c>
      <c r="C27" s="466" t="s">
        <v>1596</v>
      </c>
      <c r="D27" s="366">
        <f>'2 lentele'!K56</f>
        <v>994433</v>
      </c>
      <c r="E27" s="366"/>
      <c r="F27" s="366"/>
      <c r="G27" s="367"/>
      <c r="H27" s="367">
        <f>'2 lentele'!K38+'2 lentele'!K40+'2 lentele'!K41+'2 lentele'!K53</f>
        <v>3422579.0700000003</v>
      </c>
      <c r="I27" s="367">
        <f>'2 lentele'!P38+'2 lentele'!P40+'2 lentele'!P41+'2 lentele'!P53</f>
        <v>2827404.63</v>
      </c>
      <c r="J27" s="367">
        <f>'2 lentele'!K43+'2 lentele'!K44+'2 lentele'!K45+'2 lentele'!K52+'2 lentele'!K54</f>
        <v>7928350.5200000005</v>
      </c>
      <c r="K27" s="367">
        <f>'2 lentele'!P43+'2 lentele'!P44+'2 lentele'!P45+'2 lentele'!P52+'2 lentele'!P54</f>
        <v>6333821.6600000001</v>
      </c>
      <c r="L27" s="367">
        <f>'2 lentele'!K39+'2 lentele'!K42+'2 lentele'!K46+'2 lentele'!K47+'2 lentele'!K48+'2 lentele'!K49+'2 lentele'!K50+'2 lentele'!K51+'2 lentele'!K55+'2 lentele'!K57</f>
        <v>19263289.440000001</v>
      </c>
      <c r="M27" s="367">
        <f>'2 lentele'!P39+'2 lentele'!P42+'2 lentele'!P46+'2 lentele'!P47+'2 lentele'!P48+'2 lentele'!P49+'2 lentele'!P50+'2 lentele'!P51+'2 lentele'!P55+'2 lentele'!P57</f>
        <v>15923131.629999999</v>
      </c>
      <c r="N27" s="367"/>
      <c r="O27" s="367"/>
      <c r="P27" s="367"/>
      <c r="Q27" s="367"/>
      <c r="R27" s="364">
        <f t="shared" si="1"/>
        <v>31608652.030000001</v>
      </c>
      <c r="S27" s="364">
        <f t="shared" si="2"/>
        <v>25084357.919999998</v>
      </c>
    </row>
    <row r="28" spans="1:19" ht="24" x14ac:dyDescent="0.25">
      <c r="A28" s="447"/>
      <c r="B28" s="465" t="s">
        <v>957</v>
      </c>
      <c r="C28" s="466" t="s">
        <v>1597</v>
      </c>
      <c r="D28" s="366"/>
      <c r="E28" s="366"/>
      <c r="F28" s="366"/>
      <c r="G28" s="367"/>
      <c r="H28" s="367"/>
      <c r="I28" s="367"/>
      <c r="J28" s="367"/>
      <c r="K28" s="367"/>
      <c r="L28" s="367"/>
      <c r="M28" s="367"/>
      <c r="N28" s="367"/>
      <c r="O28" s="367"/>
      <c r="P28" s="367"/>
      <c r="Q28" s="367"/>
      <c r="R28" s="364">
        <f t="shared" si="1"/>
        <v>0</v>
      </c>
      <c r="S28" s="364">
        <f t="shared" si="2"/>
        <v>0</v>
      </c>
    </row>
    <row r="29" spans="1:19" ht="24" x14ac:dyDescent="0.25">
      <c r="A29" s="447"/>
      <c r="B29" s="465" t="s">
        <v>958</v>
      </c>
      <c r="C29" s="466" t="s">
        <v>1594</v>
      </c>
      <c r="D29" s="366"/>
      <c r="E29" s="366"/>
      <c r="F29" s="366"/>
      <c r="G29" s="367"/>
      <c r="H29" s="367"/>
      <c r="I29" s="367"/>
      <c r="J29" s="367"/>
      <c r="K29" s="367"/>
      <c r="L29" s="367"/>
      <c r="M29" s="367"/>
      <c r="N29" s="367"/>
      <c r="O29" s="367"/>
      <c r="P29" s="367"/>
      <c r="Q29" s="367"/>
      <c r="R29" s="364">
        <f t="shared" si="1"/>
        <v>0</v>
      </c>
      <c r="S29" s="364">
        <f t="shared" si="2"/>
        <v>0</v>
      </c>
    </row>
    <row r="30" spans="1:19" x14ac:dyDescent="0.25">
      <c r="A30" s="447"/>
      <c r="B30" s="465" t="s">
        <v>1612</v>
      </c>
      <c r="C30" s="466" t="s">
        <v>1613</v>
      </c>
      <c r="D30" s="366">
        <f t="shared" ref="D30:Q30" si="9">D31</f>
        <v>0</v>
      </c>
      <c r="E30" s="366">
        <f t="shared" si="9"/>
        <v>0</v>
      </c>
      <c r="F30" s="366">
        <f t="shared" si="9"/>
        <v>0</v>
      </c>
      <c r="G30" s="366">
        <f t="shared" si="9"/>
        <v>0</v>
      </c>
      <c r="H30" s="366">
        <f t="shared" si="9"/>
        <v>1512638.12</v>
      </c>
      <c r="I30" s="366">
        <f t="shared" si="9"/>
        <v>1164626.8500000001</v>
      </c>
      <c r="J30" s="366">
        <f t="shared" si="9"/>
        <v>4663192.5299999993</v>
      </c>
      <c r="K30" s="366">
        <f t="shared" si="9"/>
        <v>3938873.91</v>
      </c>
      <c r="L30" s="366">
        <f t="shared" si="9"/>
        <v>18081323.099999998</v>
      </c>
      <c r="M30" s="366">
        <f t="shared" si="9"/>
        <v>9251713.120000001</v>
      </c>
      <c r="N30" s="366">
        <f t="shared" si="9"/>
        <v>2094235.52</v>
      </c>
      <c r="O30" s="366">
        <f t="shared" si="9"/>
        <v>1780099.8299999998</v>
      </c>
      <c r="P30" s="366">
        <f t="shared" si="9"/>
        <v>0</v>
      </c>
      <c r="Q30" s="366">
        <f t="shared" si="9"/>
        <v>0</v>
      </c>
      <c r="R30" s="364">
        <f t="shared" si="1"/>
        <v>26351389.269999996</v>
      </c>
      <c r="S30" s="364">
        <f t="shared" si="2"/>
        <v>16135313.710000001</v>
      </c>
    </row>
    <row r="31" spans="1:19" ht="24" x14ac:dyDescent="0.25">
      <c r="A31" s="447"/>
      <c r="B31" s="465" t="s">
        <v>959</v>
      </c>
      <c r="C31" s="466" t="s">
        <v>1881</v>
      </c>
      <c r="D31" s="366">
        <f t="shared" ref="D31:Q31" si="10">D32+D33+D34+D35</f>
        <v>0</v>
      </c>
      <c r="E31" s="366">
        <f t="shared" si="10"/>
        <v>0</v>
      </c>
      <c r="F31" s="366">
        <f t="shared" si="10"/>
        <v>0</v>
      </c>
      <c r="G31" s="366">
        <f t="shared" si="10"/>
        <v>0</v>
      </c>
      <c r="H31" s="366">
        <f t="shared" si="10"/>
        <v>1512638.12</v>
      </c>
      <c r="I31" s="366">
        <f t="shared" si="10"/>
        <v>1164626.8500000001</v>
      </c>
      <c r="J31" s="366">
        <f t="shared" si="10"/>
        <v>4663192.5299999993</v>
      </c>
      <c r="K31" s="366">
        <f t="shared" si="10"/>
        <v>3938873.91</v>
      </c>
      <c r="L31" s="366">
        <f t="shared" si="10"/>
        <v>18081323.099999998</v>
      </c>
      <c r="M31" s="366">
        <f t="shared" si="10"/>
        <v>9251713.120000001</v>
      </c>
      <c r="N31" s="366">
        <f t="shared" si="10"/>
        <v>2094235.52</v>
      </c>
      <c r="O31" s="366">
        <f t="shared" si="10"/>
        <v>1780099.8299999998</v>
      </c>
      <c r="P31" s="366">
        <f t="shared" si="10"/>
        <v>0</v>
      </c>
      <c r="Q31" s="366">
        <f t="shared" si="10"/>
        <v>0</v>
      </c>
      <c r="R31" s="364">
        <f t="shared" si="1"/>
        <v>26351389.269999996</v>
      </c>
      <c r="S31" s="364">
        <f t="shared" si="2"/>
        <v>16135313.710000001</v>
      </c>
    </row>
    <row r="32" spans="1:19" x14ac:dyDescent="0.25">
      <c r="A32" s="447"/>
      <c r="B32" s="465" t="s">
        <v>960</v>
      </c>
      <c r="C32" s="466" t="s">
        <v>1598</v>
      </c>
      <c r="D32" s="366"/>
      <c r="E32" s="366"/>
      <c r="F32" s="366"/>
      <c r="G32" s="367"/>
      <c r="H32" s="367">
        <f>'2 lentele'!K65</f>
        <v>1495093.12</v>
      </c>
      <c r="I32" s="367">
        <f>'2 lentele'!P65</f>
        <v>1149713.6000000001</v>
      </c>
      <c r="J32" s="367">
        <f>'2 lentele'!K64+'2 lentele'!K67+'2 lentele'!K75+'2 lentele'!K77</f>
        <v>2793090.1099999994</v>
      </c>
      <c r="K32" s="367">
        <f>'2 lentele'!P64+'2 lentele'!P67+'2 lentele'!P75+'2 lentele'!P77</f>
        <v>2349286.8600000003</v>
      </c>
      <c r="L32" s="367">
        <f>'2 lentele'!K68+'2 lentele'!K69+'2 lentele'!K70+'2 lentele'!K71+'2 lentele'!K72+'2 lentele'!K73+'2 lentele'!K74+'2 lentele'!K76+'2 lentele'!K78+'2 lentele'!K79+'2 lentele'!K80+'2 lentele'!K81+'2 lentele'!K82+'2 lentele'!K83</f>
        <v>14641784.620000001</v>
      </c>
      <c r="M32" s="367">
        <f>'2 lentele'!P68+'2 lentele'!P69+'2 lentele'!P70+'2 lentele'!P71+'2 lentele'!P72+'2 lentele'!P73+'2 lentele'!P74+'2 lentele'!P76+'2 lentele'!P78+'2 lentele'!P79+'2 lentele'!P80+'2 lentele'!P81+'2 lentele'!P82+'2 lentele'!P83</f>
        <v>6953813.5800000001</v>
      </c>
      <c r="N32" s="367">
        <f>'2 lentele'!K66+'2 lentele'!K84</f>
        <v>1289472.51</v>
      </c>
      <c r="O32" s="367">
        <f>'2 lentele'!P66+'2 lentele'!P84</f>
        <v>1096051.6299999999</v>
      </c>
      <c r="P32" s="367"/>
      <c r="Q32" s="367"/>
      <c r="R32" s="364">
        <f t="shared" si="1"/>
        <v>20219440.360000003</v>
      </c>
      <c r="S32" s="364">
        <f t="shared" si="2"/>
        <v>11548865.670000002</v>
      </c>
    </row>
    <row r="33" spans="1:19" x14ac:dyDescent="0.25">
      <c r="A33" s="447"/>
      <c r="B33" s="465" t="s">
        <v>961</v>
      </c>
      <c r="C33" s="466" t="s">
        <v>1599</v>
      </c>
      <c r="D33" s="366"/>
      <c r="E33" s="366"/>
      <c r="F33" s="366"/>
      <c r="G33" s="367"/>
      <c r="H33" s="367">
        <f>'2 lentele'!K87</f>
        <v>17545</v>
      </c>
      <c r="I33" s="367">
        <f>'2 lentele'!P87</f>
        <v>14913.25</v>
      </c>
      <c r="J33" s="367">
        <f>'2 lentele'!K88+'2 lentele'!K93</f>
        <v>1142620.5900000001</v>
      </c>
      <c r="K33" s="367">
        <f>'2 lentele'!P88+'2 lentele'!P93</f>
        <v>971227.5</v>
      </c>
      <c r="L33" s="367">
        <f>'2 lentele'!K89+'2 lentele'!K90+'2 lentele'!K91+'2 lentele'!K92+'2 lentele'!K94</f>
        <v>1540099.82</v>
      </c>
      <c r="M33" s="367">
        <f>'2 lentele'!P89+'2 lentele'!P90+'2 lentele'!P91+'2 lentele'!P92+'2 lentele'!P94</f>
        <v>810640.4</v>
      </c>
      <c r="N33" s="367"/>
      <c r="O33" s="367"/>
      <c r="P33" s="367"/>
      <c r="Q33" s="367"/>
      <c r="R33" s="364">
        <f t="shared" si="1"/>
        <v>2700265.41</v>
      </c>
      <c r="S33" s="364">
        <f t="shared" si="2"/>
        <v>1796781.15</v>
      </c>
    </row>
    <row r="34" spans="1:19" ht="24" x14ac:dyDescent="0.25">
      <c r="A34" s="447"/>
      <c r="B34" s="465" t="s">
        <v>962</v>
      </c>
      <c r="C34" s="466" t="s">
        <v>1600</v>
      </c>
      <c r="D34" s="366"/>
      <c r="E34" s="366"/>
      <c r="F34" s="366"/>
      <c r="G34" s="367"/>
      <c r="H34" s="367"/>
      <c r="I34" s="367"/>
      <c r="J34" s="367">
        <f>'2 lentele'!K97+'2 lentele'!K102+'2 lentele'!K103</f>
        <v>727481.83</v>
      </c>
      <c r="K34" s="367">
        <f>'2 lentele'!P97+'2 lentele'!P102+'2 lentele'!P103</f>
        <v>618359.55000000005</v>
      </c>
      <c r="L34" s="367">
        <f>'2 lentele'!K96+'2 lentele'!K98+'2 lentele'!K99+'2 lentele'!K100+'2 lentele'!K104+'2 lentele'!K106</f>
        <v>1324907.42</v>
      </c>
      <c r="M34" s="367">
        <f>'2 lentele'!P96+'2 lentele'!P98+'2 lentele'!P99+'2 lentele'!P100+'2 lentele'!P104+'2 lentele'!P106</f>
        <v>1108527.1399999999</v>
      </c>
      <c r="N34" s="367">
        <f>'2 lentele'!K101</f>
        <v>224271</v>
      </c>
      <c r="O34" s="367">
        <f>'2 lentele'!P101</f>
        <v>190630</v>
      </c>
      <c r="P34" s="367"/>
      <c r="Q34" s="367"/>
      <c r="R34" s="364">
        <f t="shared" si="1"/>
        <v>2276660.25</v>
      </c>
      <c r="S34" s="364">
        <f t="shared" si="2"/>
        <v>1917516.69</v>
      </c>
    </row>
    <row r="35" spans="1:19" ht="24" x14ac:dyDescent="0.25">
      <c r="A35" s="447"/>
      <c r="B35" s="465" t="s">
        <v>963</v>
      </c>
      <c r="C35" s="466" t="s">
        <v>1601</v>
      </c>
      <c r="D35" s="366"/>
      <c r="E35" s="366"/>
      <c r="F35" s="366"/>
      <c r="G35" s="367"/>
      <c r="H35" s="367"/>
      <c r="I35" s="367"/>
      <c r="J35" s="367"/>
      <c r="K35" s="367"/>
      <c r="L35" s="367">
        <f>'2 lentele'!K108</f>
        <v>574531.24</v>
      </c>
      <c r="M35" s="367">
        <f>'2 lentele'!P108</f>
        <v>378732</v>
      </c>
      <c r="N35" s="367">
        <f>'2 lentele'!K109</f>
        <v>580492.01</v>
      </c>
      <c r="O35" s="367">
        <f>'2 lentele'!P109</f>
        <v>493418.2</v>
      </c>
      <c r="P35" s="367"/>
      <c r="Q35" s="367"/>
      <c r="R35" s="364">
        <f t="shared" si="1"/>
        <v>1155023.25</v>
      </c>
      <c r="S35" s="364">
        <f t="shared" si="2"/>
        <v>872150.2</v>
      </c>
    </row>
    <row r="36" spans="1:19" ht="24" x14ac:dyDescent="0.25">
      <c r="A36" s="447"/>
      <c r="B36" s="465" t="s">
        <v>1617</v>
      </c>
      <c r="C36" s="466" t="s">
        <v>1620</v>
      </c>
      <c r="D36" s="366">
        <f t="shared" ref="D36:Q36" si="11">D37+D42</f>
        <v>0</v>
      </c>
      <c r="E36" s="366">
        <f t="shared" si="11"/>
        <v>0</v>
      </c>
      <c r="F36" s="366">
        <f t="shared" si="11"/>
        <v>0</v>
      </c>
      <c r="G36" s="366">
        <f t="shared" si="11"/>
        <v>0</v>
      </c>
      <c r="H36" s="366">
        <f t="shared" si="11"/>
        <v>11584800</v>
      </c>
      <c r="I36" s="366">
        <f t="shared" si="11"/>
        <v>9847080</v>
      </c>
      <c r="J36" s="366">
        <f t="shared" si="11"/>
        <v>11769650.239999998</v>
      </c>
      <c r="K36" s="366">
        <f t="shared" si="11"/>
        <v>7812210.0100000007</v>
      </c>
      <c r="L36" s="366">
        <f t="shared" si="11"/>
        <v>20290942.649999999</v>
      </c>
      <c r="M36" s="366">
        <f t="shared" si="11"/>
        <v>17436983.75</v>
      </c>
      <c r="N36" s="366">
        <f t="shared" si="11"/>
        <v>0</v>
      </c>
      <c r="O36" s="366">
        <f t="shared" si="11"/>
        <v>0</v>
      </c>
      <c r="P36" s="366">
        <f t="shared" si="11"/>
        <v>0</v>
      </c>
      <c r="Q36" s="366">
        <f t="shared" si="11"/>
        <v>0</v>
      </c>
      <c r="R36" s="364">
        <f t="shared" si="1"/>
        <v>43645392.890000001</v>
      </c>
      <c r="S36" s="364">
        <f t="shared" si="2"/>
        <v>35096273.760000005</v>
      </c>
    </row>
    <row r="37" spans="1:19" ht="48" x14ac:dyDescent="0.25">
      <c r="A37" s="447"/>
      <c r="B37" s="465" t="s">
        <v>1618</v>
      </c>
      <c r="C37" s="467" t="s">
        <v>1621</v>
      </c>
      <c r="D37" s="366">
        <f t="shared" ref="D37:Q37" si="12">D38+D39+D40+D41</f>
        <v>0</v>
      </c>
      <c r="E37" s="366">
        <f t="shared" si="12"/>
        <v>0</v>
      </c>
      <c r="F37" s="366">
        <f t="shared" si="12"/>
        <v>0</v>
      </c>
      <c r="G37" s="366">
        <f t="shared" si="12"/>
        <v>0</v>
      </c>
      <c r="H37" s="366">
        <f t="shared" si="12"/>
        <v>11584800</v>
      </c>
      <c r="I37" s="366">
        <f t="shared" si="12"/>
        <v>9847080</v>
      </c>
      <c r="J37" s="366">
        <f t="shared" si="12"/>
        <v>11244287.879999999</v>
      </c>
      <c r="K37" s="366">
        <f t="shared" si="12"/>
        <v>7365652.0200000005</v>
      </c>
      <c r="L37" s="366">
        <f t="shared" si="12"/>
        <v>19847454.469999999</v>
      </c>
      <c r="M37" s="366">
        <f t="shared" si="12"/>
        <v>17060018.800000001</v>
      </c>
      <c r="N37" s="366">
        <f t="shared" si="12"/>
        <v>0</v>
      </c>
      <c r="O37" s="366">
        <f t="shared" si="12"/>
        <v>0</v>
      </c>
      <c r="P37" s="366">
        <f t="shared" si="12"/>
        <v>0</v>
      </c>
      <c r="Q37" s="366">
        <f t="shared" si="12"/>
        <v>0</v>
      </c>
      <c r="R37" s="364">
        <f t="shared" si="1"/>
        <v>42676542.349999994</v>
      </c>
      <c r="S37" s="364">
        <f t="shared" si="2"/>
        <v>34272750.82</v>
      </c>
    </row>
    <row r="38" spans="1:19" ht="24" x14ac:dyDescent="0.25">
      <c r="A38" s="447"/>
      <c r="B38" s="468" t="s">
        <v>222</v>
      </c>
      <c r="C38" s="467" t="s">
        <v>226</v>
      </c>
      <c r="D38" s="366"/>
      <c r="E38" s="366"/>
      <c r="F38" s="366"/>
      <c r="G38" s="367"/>
      <c r="H38" s="367">
        <f>'2 lentele'!K114</f>
        <v>11584800</v>
      </c>
      <c r="I38" s="367">
        <f>'2 lentele'!P114</f>
        <v>9847080</v>
      </c>
      <c r="J38" s="367">
        <f>'2 lentele'!K113+'2 lentele'!K115+'2 lentele'!K116+'2 lentele'!K117+'2 lentele'!K118+'2 lentele'!K119+'2 lentele'!K120+'2 lentele'!K121+'2 lentele'!K123+'2 lentele'!K124+'2 lentele'!K125</f>
        <v>11244287.879999999</v>
      </c>
      <c r="K38" s="367">
        <f>'2 lentele'!P113+'2 lentele'!P115+'2 lentele'!P116+'2 lentele'!P117+'2 lentele'!P118+'2 lentele'!P119+'2 lentele'!P120+'2 lentele'!P121+'2 lentele'!P123+'2 lentele'!P124+'2 lentele'!P125</f>
        <v>7365652.0200000005</v>
      </c>
      <c r="L38" s="367">
        <f>'2 lentele'!K122</f>
        <v>97014.47</v>
      </c>
      <c r="M38" s="367">
        <f>'2 lentele'!P122</f>
        <v>80898.8</v>
      </c>
      <c r="N38" s="367"/>
      <c r="O38" s="367"/>
      <c r="P38" s="367"/>
      <c r="Q38" s="367"/>
      <c r="R38" s="364">
        <f t="shared" si="1"/>
        <v>22926102.349999998</v>
      </c>
      <c r="S38" s="364">
        <f t="shared" si="2"/>
        <v>17293630.82</v>
      </c>
    </row>
    <row r="39" spans="1:19" ht="24" x14ac:dyDescent="0.25">
      <c r="A39" s="447"/>
      <c r="B39" s="468" t="s">
        <v>223</v>
      </c>
      <c r="C39" s="467" t="s">
        <v>227</v>
      </c>
      <c r="D39" s="366"/>
      <c r="E39" s="366"/>
      <c r="F39" s="366"/>
      <c r="G39" s="367"/>
      <c r="H39" s="367"/>
      <c r="I39" s="367"/>
      <c r="J39" s="367"/>
      <c r="K39" s="367"/>
      <c r="L39" s="367"/>
      <c r="M39" s="367"/>
      <c r="N39" s="367"/>
      <c r="O39" s="367"/>
      <c r="P39" s="367"/>
      <c r="Q39" s="367"/>
      <c r="R39" s="364">
        <f t="shared" si="1"/>
        <v>0</v>
      </c>
      <c r="S39" s="364">
        <f t="shared" si="2"/>
        <v>0</v>
      </c>
    </row>
    <row r="40" spans="1:19" ht="24" x14ac:dyDescent="0.25">
      <c r="A40" s="447"/>
      <c r="B40" s="468" t="s">
        <v>224</v>
      </c>
      <c r="C40" s="467" t="s">
        <v>228</v>
      </c>
      <c r="D40" s="366"/>
      <c r="E40" s="366"/>
      <c r="F40" s="366"/>
      <c r="G40" s="367"/>
      <c r="H40" s="367"/>
      <c r="I40" s="367"/>
      <c r="J40" s="367"/>
      <c r="K40" s="367"/>
      <c r="L40" s="367"/>
      <c r="M40" s="367"/>
      <c r="N40" s="367"/>
      <c r="O40" s="367"/>
      <c r="P40" s="367"/>
      <c r="Q40" s="367"/>
      <c r="R40" s="364">
        <f t="shared" si="1"/>
        <v>0</v>
      </c>
      <c r="S40" s="364">
        <f t="shared" si="2"/>
        <v>0</v>
      </c>
    </row>
    <row r="41" spans="1:19" ht="24" x14ac:dyDescent="0.25">
      <c r="A41" s="447"/>
      <c r="B41" s="468" t="s">
        <v>225</v>
      </c>
      <c r="C41" s="467" t="s">
        <v>229</v>
      </c>
      <c r="D41" s="366"/>
      <c r="E41" s="366"/>
      <c r="F41" s="366"/>
      <c r="G41" s="367"/>
      <c r="H41" s="367"/>
      <c r="I41" s="367"/>
      <c r="J41" s="367"/>
      <c r="K41" s="367"/>
      <c r="L41" s="367">
        <f>'2 lentele'!K129+'2 lentele'!K130+'2 lentele'!K131+'2 lentele'!K132</f>
        <v>19750440</v>
      </c>
      <c r="M41" s="367">
        <f>'2 lentele'!P129+'2 lentele'!P130+'2 lentele'!P131+'2 lentele'!P132</f>
        <v>16979120</v>
      </c>
      <c r="N41" s="367"/>
      <c r="O41" s="367"/>
      <c r="P41" s="367"/>
      <c r="Q41" s="367"/>
      <c r="R41" s="364">
        <f t="shared" si="1"/>
        <v>19750440</v>
      </c>
      <c r="S41" s="364">
        <f t="shared" si="2"/>
        <v>16979120</v>
      </c>
    </row>
    <row r="42" spans="1:19" ht="24" x14ac:dyDescent="0.25">
      <c r="A42" s="447"/>
      <c r="B42" s="465" t="s">
        <v>1619</v>
      </c>
      <c r="C42" s="466" t="s">
        <v>1622</v>
      </c>
      <c r="D42" s="366">
        <f t="shared" ref="D42:Q42" si="13">D43+D44+D45+D46</f>
        <v>0</v>
      </c>
      <c r="E42" s="366">
        <f t="shared" si="13"/>
        <v>0</v>
      </c>
      <c r="F42" s="366">
        <f t="shared" si="13"/>
        <v>0</v>
      </c>
      <c r="G42" s="366">
        <f t="shared" si="13"/>
        <v>0</v>
      </c>
      <c r="H42" s="366">
        <f t="shared" si="13"/>
        <v>0</v>
      </c>
      <c r="I42" s="366">
        <f t="shared" si="13"/>
        <v>0</v>
      </c>
      <c r="J42" s="366">
        <f t="shared" si="13"/>
        <v>525362.36</v>
      </c>
      <c r="K42" s="366">
        <f t="shared" si="13"/>
        <v>446557.99</v>
      </c>
      <c r="L42" s="366">
        <f t="shared" si="13"/>
        <v>443488.18</v>
      </c>
      <c r="M42" s="366">
        <f t="shared" si="13"/>
        <v>376964.95</v>
      </c>
      <c r="N42" s="366">
        <f t="shared" si="13"/>
        <v>0</v>
      </c>
      <c r="O42" s="366">
        <f t="shared" si="13"/>
        <v>0</v>
      </c>
      <c r="P42" s="366">
        <f t="shared" si="13"/>
        <v>0</v>
      </c>
      <c r="Q42" s="366">
        <f t="shared" si="13"/>
        <v>0</v>
      </c>
      <c r="R42" s="364">
        <f t="shared" ref="R42:R73" si="14">D42+F42+H42+J42+L42+N42+P42</f>
        <v>968850.54</v>
      </c>
      <c r="S42" s="364">
        <f t="shared" ref="S42:S73" si="15">E42+G42+I42+K42+M42+O42+Q42</f>
        <v>823522.94</v>
      </c>
    </row>
    <row r="43" spans="1:19" x14ac:dyDescent="0.25">
      <c r="A43" s="447"/>
      <c r="B43" s="469" t="s">
        <v>230</v>
      </c>
      <c r="C43" s="467" t="s">
        <v>231</v>
      </c>
      <c r="D43" s="366"/>
      <c r="E43" s="366"/>
      <c r="F43" s="366"/>
      <c r="G43" s="367"/>
      <c r="H43" s="367"/>
      <c r="I43" s="367"/>
      <c r="J43" s="367"/>
      <c r="K43" s="367"/>
      <c r="L43" s="367"/>
      <c r="M43" s="367"/>
      <c r="N43" s="367"/>
      <c r="O43" s="367"/>
      <c r="P43" s="367"/>
      <c r="Q43" s="367"/>
      <c r="R43" s="364">
        <f t="shared" si="14"/>
        <v>0</v>
      </c>
      <c r="S43" s="364">
        <f t="shared" si="15"/>
        <v>0</v>
      </c>
    </row>
    <row r="44" spans="1:19" ht="24" x14ac:dyDescent="0.25">
      <c r="A44" s="447"/>
      <c r="B44" s="469" t="s">
        <v>1136</v>
      </c>
      <c r="C44" s="467" t="s">
        <v>232</v>
      </c>
      <c r="D44" s="366"/>
      <c r="E44" s="366"/>
      <c r="F44" s="366"/>
      <c r="G44" s="367"/>
      <c r="H44" s="367"/>
      <c r="I44" s="367"/>
      <c r="J44" s="367">
        <f>'2 lentele'!K136+'2 lentele'!K137</f>
        <v>525362.36</v>
      </c>
      <c r="K44" s="367">
        <f>'2 lentele'!P136+'2 lentele'!P137</f>
        <v>446557.99</v>
      </c>
      <c r="L44" s="367">
        <f>'2 lentele'!K138</f>
        <v>443488.18</v>
      </c>
      <c r="M44" s="367">
        <f>'2 lentele'!P138</f>
        <v>376964.95</v>
      </c>
      <c r="N44" s="367"/>
      <c r="O44" s="367"/>
      <c r="P44" s="367"/>
      <c r="Q44" s="367"/>
      <c r="R44" s="364">
        <f t="shared" si="14"/>
        <v>968850.54</v>
      </c>
      <c r="S44" s="364">
        <f t="shared" si="15"/>
        <v>823522.94</v>
      </c>
    </row>
    <row r="45" spans="1:19" x14ac:dyDescent="0.25">
      <c r="A45" s="447"/>
      <c r="B45" s="469" t="s">
        <v>1137</v>
      </c>
      <c r="C45" s="467" t="s">
        <v>233</v>
      </c>
      <c r="D45" s="366"/>
      <c r="E45" s="366"/>
      <c r="F45" s="366"/>
      <c r="G45" s="367"/>
      <c r="H45" s="367"/>
      <c r="I45" s="367"/>
      <c r="J45" s="367"/>
      <c r="K45" s="367"/>
      <c r="L45" s="367"/>
      <c r="M45" s="367"/>
      <c r="N45" s="367"/>
      <c r="O45" s="367"/>
      <c r="P45" s="367"/>
      <c r="Q45" s="367"/>
      <c r="R45" s="364">
        <f t="shared" si="14"/>
        <v>0</v>
      </c>
      <c r="S45" s="364">
        <f t="shared" si="15"/>
        <v>0</v>
      </c>
    </row>
    <row r="46" spans="1:19" ht="24" x14ac:dyDescent="0.25">
      <c r="A46" s="447"/>
      <c r="B46" s="469" t="s">
        <v>1138</v>
      </c>
      <c r="C46" s="467" t="s">
        <v>234</v>
      </c>
      <c r="D46" s="366"/>
      <c r="E46" s="366"/>
      <c r="F46" s="366"/>
      <c r="G46" s="367"/>
      <c r="H46" s="367"/>
      <c r="I46" s="367"/>
      <c r="J46" s="367"/>
      <c r="K46" s="367"/>
      <c r="L46" s="367"/>
      <c r="M46" s="367"/>
      <c r="N46" s="367"/>
      <c r="O46" s="367"/>
      <c r="P46" s="367"/>
      <c r="Q46" s="367"/>
      <c r="R46" s="364">
        <f t="shared" si="14"/>
        <v>0</v>
      </c>
      <c r="S46" s="364">
        <f t="shared" si="15"/>
        <v>0</v>
      </c>
    </row>
    <row r="47" spans="1:19" x14ac:dyDescent="0.25">
      <c r="A47" s="447"/>
      <c r="B47" s="465" t="s">
        <v>1623</v>
      </c>
      <c r="C47" s="466" t="s">
        <v>1624</v>
      </c>
      <c r="D47" s="366">
        <f t="shared" ref="D47:Q47" si="16">D48+D55+D77+D93+D105+D118</f>
        <v>0</v>
      </c>
      <c r="E47" s="366">
        <f t="shared" si="16"/>
        <v>0</v>
      </c>
      <c r="F47" s="366">
        <f t="shared" si="16"/>
        <v>0</v>
      </c>
      <c r="G47" s="366">
        <f t="shared" si="16"/>
        <v>0</v>
      </c>
      <c r="H47" s="366">
        <f t="shared" si="16"/>
        <v>22693418.710000001</v>
      </c>
      <c r="I47" s="366">
        <f t="shared" si="16"/>
        <v>13084575.5</v>
      </c>
      <c r="J47" s="366">
        <f t="shared" si="16"/>
        <v>61606871.005996287</v>
      </c>
      <c r="K47" s="366">
        <f t="shared" si="16"/>
        <v>41944038.045996293</v>
      </c>
      <c r="L47" s="366">
        <f t="shared" si="16"/>
        <v>22112535.439999998</v>
      </c>
      <c r="M47" s="366">
        <f t="shared" si="16"/>
        <v>17267238.149999999</v>
      </c>
      <c r="N47" s="366">
        <f t="shared" si="16"/>
        <v>752970</v>
      </c>
      <c r="O47" s="366">
        <f t="shared" si="16"/>
        <v>640024</v>
      </c>
      <c r="P47" s="366">
        <f t="shared" si="16"/>
        <v>0</v>
      </c>
      <c r="Q47" s="366">
        <f t="shared" si="16"/>
        <v>0</v>
      </c>
      <c r="R47" s="364">
        <f t="shared" si="14"/>
        <v>107165795.15599629</v>
      </c>
      <c r="S47" s="364">
        <f t="shared" si="15"/>
        <v>72935875.695996284</v>
      </c>
    </row>
    <row r="48" spans="1:19" ht="24" x14ac:dyDescent="0.25">
      <c r="A48" s="447"/>
      <c r="B48" s="465" t="s">
        <v>1626</v>
      </c>
      <c r="C48" s="466" t="s">
        <v>1627</v>
      </c>
      <c r="D48" s="366">
        <f t="shared" ref="D48:Q48" si="17">D49+D52</f>
        <v>0</v>
      </c>
      <c r="E48" s="366">
        <f t="shared" si="17"/>
        <v>0</v>
      </c>
      <c r="F48" s="366">
        <f t="shared" si="17"/>
        <v>0</v>
      </c>
      <c r="G48" s="366">
        <f t="shared" si="17"/>
        <v>0</v>
      </c>
      <c r="H48" s="366">
        <f t="shared" si="17"/>
        <v>0</v>
      </c>
      <c r="I48" s="366">
        <f t="shared" si="17"/>
        <v>0</v>
      </c>
      <c r="J48" s="366">
        <f t="shared" si="17"/>
        <v>0</v>
      </c>
      <c r="K48" s="366">
        <f t="shared" si="17"/>
        <v>0</v>
      </c>
      <c r="L48" s="366">
        <f t="shared" si="17"/>
        <v>0</v>
      </c>
      <c r="M48" s="366">
        <f t="shared" si="17"/>
        <v>0</v>
      </c>
      <c r="N48" s="366">
        <f t="shared" si="17"/>
        <v>0</v>
      </c>
      <c r="O48" s="366">
        <f t="shared" si="17"/>
        <v>0</v>
      </c>
      <c r="P48" s="366">
        <f t="shared" si="17"/>
        <v>0</v>
      </c>
      <c r="Q48" s="366">
        <f t="shared" si="17"/>
        <v>0</v>
      </c>
      <c r="R48" s="364">
        <f t="shared" si="14"/>
        <v>0</v>
      </c>
      <c r="S48" s="364">
        <f t="shared" si="15"/>
        <v>0</v>
      </c>
    </row>
    <row r="49" spans="1:19" ht="24" x14ac:dyDescent="0.25">
      <c r="A49" s="447"/>
      <c r="B49" s="465" t="s">
        <v>1628</v>
      </c>
      <c r="C49" s="466" t="s">
        <v>1629</v>
      </c>
      <c r="D49" s="366">
        <f t="shared" ref="D49:Q49" si="18">D50+D51</f>
        <v>0</v>
      </c>
      <c r="E49" s="366">
        <f t="shared" si="18"/>
        <v>0</v>
      </c>
      <c r="F49" s="366">
        <f t="shared" si="18"/>
        <v>0</v>
      </c>
      <c r="G49" s="366">
        <f t="shared" si="18"/>
        <v>0</v>
      </c>
      <c r="H49" s="366">
        <f t="shared" si="18"/>
        <v>0</v>
      </c>
      <c r="I49" s="366">
        <f t="shared" si="18"/>
        <v>0</v>
      </c>
      <c r="J49" s="366">
        <f t="shared" si="18"/>
        <v>0</v>
      </c>
      <c r="K49" s="366">
        <f t="shared" si="18"/>
        <v>0</v>
      </c>
      <c r="L49" s="366">
        <f t="shared" si="18"/>
        <v>0</v>
      </c>
      <c r="M49" s="366">
        <f t="shared" si="18"/>
        <v>0</v>
      </c>
      <c r="N49" s="366">
        <f t="shared" si="18"/>
        <v>0</v>
      </c>
      <c r="O49" s="366">
        <f t="shared" si="18"/>
        <v>0</v>
      </c>
      <c r="P49" s="366">
        <f t="shared" si="18"/>
        <v>0</v>
      </c>
      <c r="Q49" s="366">
        <f t="shared" si="18"/>
        <v>0</v>
      </c>
      <c r="R49" s="364">
        <f t="shared" si="14"/>
        <v>0</v>
      </c>
      <c r="S49" s="364">
        <f t="shared" si="15"/>
        <v>0</v>
      </c>
    </row>
    <row r="50" spans="1:19" ht="24" x14ac:dyDescent="0.25">
      <c r="A50" s="447"/>
      <c r="B50" s="468" t="s">
        <v>235</v>
      </c>
      <c r="C50" s="467" t="s">
        <v>239</v>
      </c>
      <c r="D50" s="366"/>
      <c r="E50" s="366"/>
      <c r="F50" s="366"/>
      <c r="G50" s="367"/>
      <c r="H50" s="367"/>
      <c r="I50" s="367"/>
      <c r="J50" s="367"/>
      <c r="K50" s="367"/>
      <c r="L50" s="367"/>
      <c r="M50" s="367"/>
      <c r="N50" s="367"/>
      <c r="O50" s="367"/>
      <c r="P50" s="367"/>
      <c r="Q50" s="367"/>
      <c r="R50" s="364">
        <f t="shared" si="14"/>
        <v>0</v>
      </c>
      <c r="S50" s="364">
        <f t="shared" si="15"/>
        <v>0</v>
      </c>
    </row>
    <row r="51" spans="1:19" ht="24" x14ac:dyDescent="0.25">
      <c r="A51" s="447"/>
      <c r="B51" s="468" t="s">
        <v>236</v>
      </c>
      <c r="C51" s="467" t="s">
        <v>240</v>
      </c>
      <c r="D51" s="366"/>
      <c r="E51" s="366"/>
      <c r="F51" s="366"/>
      <c r="G51" s="367"/>
      <c r="H51" s="367"/>
      <c r="I51" s="367"/>
      <c r="J51" s="367"/>
      <c r="K51" s="367"/>
      <c r="L51" s="367"/>
      <c r="M51" s="367"/>
      <c r="N51" s="367"/>
      <c r="O51" s="367"/>
      <c r="P51" s="367"/>
      <c r="Q51" s="367"/>
      <c r="R51" s="364">
        <f t="shared" si="14"/>
        <v>0</v>
      </c>
      <c r="S51" s="364">
        <f t="shared" si="15"/>
        <v>0</v>
      </c>
    </row>
    <row r="52" spans="1:19" ht="24" x14ac:dyDescent="0.25">
      <c r="A52" s="447"/>
      <c r="B52" s="465" t="s">
        <v>1630</v>
      </c>
      <c r="C52" s="466" t="s">
        <v>1631</v>
      </c>
      <c r="D52" s="366">
        <f t="shared" ref="D52:Q52" si="19">D53+D54</f>
        <v>0</v>
      </c>
      <c r="E52" s="366">
        <f t="shared" si="19"/>
        <v>0</v>
      </c>
      <c r="F52" s="366">
        <f t="shared" si="19"/>
        <v>0</v>
      </c>
      <c r="G52" s="366">
        <f t="shared" si="19"/>
        <v>0</v>
      </c>
      <c r="H52" s="366">
        <f t="shared" si="19"/>
        <v>0</v>
      </c>
      <c r="I52" s="366">
        <f t="shared" si="19"/>
        <v>0</v>
      </c>
      <c r="J52" s="366">
        <f t="shared" si="19"/>
        <v>0</v>
      </c>
      <c r="K52" s="366">
        <f t="shared" si="19"/>
        <v>0</v>
      </c>
      <c r="L52" s="366">
        <f t="shared" si="19"/>
        <v>0</v>
      </c>
      <c r="M52" s="366">
        <f t="shared" si="19"/>
        <v>0</v>
      </c>
      <c r="N52" s="366">
        <f t="shared" si="19"/>
        <v>0</v>
      </c>
      <c r="O52" s="366">
        <f t="shared" si="19"/>
        <v>0</v>
      </c>
      <c r="P52" s="366">
        <f t="shared" si="19"/>
        <v>0</v>
      </c>
      <c r="Q52" s="366">
        <f t="shared" si="19"/>
        <v>0</v>
      </c>
      <c r="R52" s="364">
        <f t="shared" si="14"/>
        <v>0</v>
      </c>
      <c r="S52" s="364">
        <f t="shared" si="15"/>
        <v>0</v>
      </c>
    </row>
    <row r="53" spans="1:19" ht="60" x14ac:dyDescent="0.25">
      <c r="A53" s="447"/>
      <c r="B53" s="468" t="s">
        <v>237</v>
      </c>
      <c r="C53" s="467" t="s">
        <v>241</v>
      </c>
      <c r="D53" s="366"/>
      <c r="E53" s="366"/>
      <c r="F53" s="366"/>
      <c r="G53" s="367"/>
      <c r="H53" s="367"/>
      <c r="I53" s="367"/>
      <c r="J53" s="367"/>
      <c r="K53" s="367"/>
      <c r="L53" s="367"/>
      <c r="M53" s="367"/>
      <c r="N53" s="367"/>
      <c r="O53" s="367"/>
      <c r="P53" s="367"/>
      <c r="Q53" s="367"/>
      <c r="R53" s="364">
        <f t="shared" si="14"/>
        <v>0</v>
      </c>
      <c r="S53" s="364">
        <f t="shared" si="15"/>
        <v>0</v>
      </c>
    </row>
    <row r="54" spans="1:19" ht="24" x14ac:dyDescent="0.25">
      <c r="A54" s="447"/>
      <c r="B54" s="468" t="s">
        <v>238</v>
      </c>
      <c r="C54" s="467" t="s">
        <v>242</v>
      </c>
      <c r="D54" s="366"/>
      <c r="E54" s="366"/>
      <c r="F54" s="366"/>
      <c r="G54" s="367"/>
      <c r="H54" s="367"/>
      <c r="I54" s="367"/>
      <c r="J54" s="367"/>
      <c r="K54" s="367"/>
      <c r="L54" s="367"/>
      <c r="M54" s="367"/>
      <c r="N54" s="367"/>
      <c r="O54" s="367"/>
      <c r="P54" s="367"/>
      <c r="Q54" s="367"/>
      <c r="R54" s="364">
        <f t="shared" si="14"/>
        <v>0</v>
      </c>
      <c r="S54" s="364">
        <f t="shared" si="15"/>
        <v>0</v>
      </c>
    </row>
    <row r="55" spans="1:19" x14ac:dyDescent="0.25">
      <c r="A55" s="447"/>
      <c r="B55" s="465" t="s">
        <v>1632</v>
      </c>
      <c r="C55" s="466" t="s">
        <v>1633</v>
      </c>
      <c r="D55" s="366">
        <f t="shared" ref="D55:Q55" si="20">D56+D66+D69+D74</f>
        <v>0</v>
      </c>
      <c r="E55" s="366">
        <f t="shared" si="20"/>
        <v>0</v>
      </c>
      <c r="F55" s="366">
        <f t="shared" si="20"/>
        <v>0</v>
      </c>
      <c r="G55" s="366">
        <f t="shared" si="20"/>
        <v>0</v>
      </c>
      <c r="H55" s="366">
        <f t="shared" si="20"/>
        <v>4666562</v>
      </c>
      <c r="I55" s="366">
        <f t="shared" si="20"/>
        <v>1649000</v>
      </c>
      <c r="J55" s="366">
        <f t="shared" si="20"/>
        <v>12076569.66</v>
      </c>
      <c r="K55" s="366">
        <f t="shared" si="20"/>
        <v>3627241.9299999997</v>
      </c>
      <c r="L55" s="366">
        <f t="shared" si="20"/>
        <v>9822669.4800000004</v>
      </c>
      <c r="M55" s="366">
        <f t="shared" si="20"/>
        <v>6859896.7800000003</v>
      </c>
      <c r="N55" s="366">
        <f t="shared" si="20"/>
        <v>752970</v>
      </c>
      <c r="O55" s="366">
        <f t="shared" si="20"/>
        <v>640024</v>
      </c>
      <c r="P55" s="366">
        <f t="shared" si="20"/>
        <v>0</v>
      </c>
      <c r="Q55" s="366">
        <f t="shared" si="20"/>
        <v>0</v>
      </c>
      <c r="R55" s="364">
        <f t="shared" si="14"/>
        <v>27318771.140000001</v>
      </c>
      <c r="S55" s="364">
        <f t="shared" si="15"/>
        <v>12776162.710000001</v>
      </c>
    </row>
    <row r="56" spans="1:19" ht="36" x14ac:dyDescent="0.25">
      <c r="A56" s="447"/>
      <c r="B56" s="465" t="s">
        <v>1634</v>
      </c>
      <c r="C56" s="466" t="s">
        <v>1635</v>
      </c>
      <c r="D56" s="366">
        <f t="shared" ref="D56:Q56" si="21">D57+D58+D59+D60+D61+D62+D63+D64+D65</f>
        <v>0</v>
      </c>
      <c r="E56" s="366">
        <f t="shared" si="21"/>
        <v>0</v>
      </c>
      <c r="F56" s="366">
        <f t="shared" si="21"/>
        <v>0</v>
      </c>
      <c r="G56" s="366">
        <f t="shared" si="21"/>
        <v>0</v>
      </c>
      <c r="H56" s="366">
        <f t="shared" si="21"/>
        <v>0</v>
      </c>
      <c r="I56" s="366">
        <f t="shared" si="21"/>
        <v>0</v>
      </c>
      <c r="J56" s="366">
        <f t="shared" si="21"/>
        <v>9392414.25</v>
      </c>
      <c r="K56" s="366">
        <f t="shared" si="21"/>
        <v>2203966.25</v>
      </c>
      <c r="L56" s="366">
        <f t="shared" si="21"/>
        <v>2506700.41</v>
      </c>
      <c r="M56" s="366">
        <f t="shared" si="21"/>
        <v>1888627.7400000002</v>
      </c>
      <c r="N56" s="366">
        <f t="shared" si="21"/>
        <v>0</v>
      </c>
      <c r="O56" s="366">
        <f t="shared" si="21"/>
        <v>0</v>
      </c>
      <c r="P56" s="366">
        <f t="shared" si="21"/>
        <v>0</v>
      </c>
      <c r="Q56" s="366">
        <f t="shared" si="21"/>
        <v>0</v>
      </c>
      <c r="R56" s="364">
        <f t="shared" si="14"/>
        <v>11899114.66</v>
      </c>
      <c r="S56" s="364">
        <f t="shared" si="15"/>
        <v>4092593.99</v>
      </c>
    </row>
    <row r="57" spans="1:19" x14ac:dyDescent="0.25">
      <c r="A57" s="447"/>
      <c r="B57" s="468" t="s">
        <v>243</v>
      </c>
      <c r="C57" s="467" t="s">
        <v>248</v>
      </c>
      <c r="D57" s="366"/>
      <c r="E57" s="366"/>
      <c r="F57" s="366"/>
      <c r="G57" s="367"/>
      <c r="H57" s="367"/>
      <c r="I57" s="367"/>
      <c r="J57" s="367">
        <f>'2 lentele'!K152+'2 lentele'!K153+'2 lentele'!K154+'2 lentele'!K155+'2 lentele'!K156</f>
        <v>3401840.25</v>
      </c>
      <c r="K57" s="367">
        <f>'2 lentele'!P152+'2 lentele'!P153+'2 lentele'!P154+'2 lentele'!P155+'2 lentele'!P156</f>
        <v>2203966.25</v>
      </c>
      <c r="L57" s="367">
        <f>'2 lentele'!K157</f>
        <v>420241.25</v>
      </c>
      <c r="M57" s="367">
        <f>'2 lentele'!P157</f>
        <v>357205.06</v>
      </c>
      <c r="N57" s="367"/>
      <c r="O57" s="367"/>
      <c r="P57" s="367"/>
      <c r="Q57" s="367"/>
      <c r="R57" s="364">
        <f t="shared" si="14"/>
        <v>3822081.5</v>
      </c>
      <c r="S57" s="364">
        <f t="shared" si="15"/>
        <v>2561171.31</v>
      </c>
    </row>
    <row r="58" spans="1:19" x14ac:dyDescent="0.25">
      <c r="A58" s="447"/>
      <c r="B58" s="468" t="s">
        <v>244</v>
      </c>
      <c r="C58" s="467" t="s">
        <v>249</v>
      </c>
      <c r="D58" s="366"/>
      <c r="E58" s="366"/>
      <c r="F58" s="366"/>
      <c r="G58" s="367"/>
      <c r="H58" s="367"/>
      <c r="I58" s="367"/>
      <c r="J58" s="367">
        <f>'2 lentele'!K159+'2 lentele'!K161</f>
        <v>63404</v>
      </c>
      <c r="K58" s="367">
        <f>'2 lentele'!P159+'2 lentele'!P161</f>
        <v>0</v>
      </c>
      <c r="L58" s="367">
        <f>'2 lentele'!K160+'2 lentele'!K162+'2 lentele'!K163+'2 lentele'!K164+'2 lentele'!K165</f>
        <v>1931976.41</v>
      </c>
      <c r="M58" s="367">
        <f>'2 lentele'!P160+'2 lentele'!P162+'2 lentele'!P163+'2 lentele'!P164+'2 lentele'!P165</f>
        <v>1400112.35</v>
      </c>
      <c r="N58" s="367"/>
      <c r="O58" s="367"/>
      <c r="P58" s="367"/>
      <c r="Q58" s="367"/>
      <c r="R58" s="364">
        <f t="shared" si="14"/>
        <v>1995380.41</v>
      </c>
      <c r="S58" s="364">
        <f t="shared" si="15"/>
        <v>1400112.35</v>
      </c>
    </row>
    <row r="59" spans="1:19" x14ac:dyDescent="0.25">
      <c r="A59" s="447"/>
      <c r="B59" s="468" t="s">
        <v>245</v>
      </c>
      <c r="C59" s="467" t="s">
        <v>250</v>
      </c>
      <c r="D59" s="366"/>
      <c r="E59" s="366"/>
      <c r="F59" s="366"/>
      <c r="G59" s="367"/>
      <c r="H59" s="367"/>
      <c r="I59" s="367"/>
      <c r="J59" s="367"/>
      <c r="K59" s="367"/>
      <c r="L59" s="367"/>
      <c r="M59" s="367"/>
      <c r="N59" s="367"/>
      <c r="O59" s="367"/>
      <c r="P59" s="367"/>
      <c r="Q59" s="367"/>
      <c r="R59" s="364">
        <f t="shared" si="14"/>
        <v>0</v>
      </c>
      <c r="S59" s="364">
        <f t="shared" si="15"/>
        <v>0</v>
      </c>
    </row>
    <row r="60" spans="1:19" ht="24" x14ac:dyDescent="0.25">
      <c r="A60" s="447"/>
      <c r="B60" s="468" t="s">
        <v>246</v>
      </c>
      <c r="C60" s="467" t="s">
        <v>251</v>
      </c>
      <c r="D60" s="366"/>
      <c r="E60" s="366"/>
      <c r="F60" s="366"/>
      <c r="G60" s="367"/>
      <c r="H60" s="367"/>
      <c r="I60" s="367"/>
      <c r="J60" s="367"/>
      <c r="K60" s="367"/>
      <c r="L60" s="367">
        <f>'2 lentele'!K168</f>
        <v>154482.75</v>
      </c>
      <c r="M60" s="367">
        <f>'2 lentele'!P168</f>
        <v>131310.32999999999</v>
      </c>
      <c r="N60" s="367"/>
      <c r="O60" s="367"/>
      <c r="P60" s="367"/>
      <c r="Q60" s="367"/>
      <c r="R60" s="364">
        <f t="shared" si="14"/>
        <v>154482.75</v>
      </c>
      <c r="S60" s="364">
        <f t="shared" si="15"/>
        <v>131310.32999999999</v>
      </c>
    </row>
    <row r="61" spans="1:19" ht="24" x14ac:dyDescent="0.25">
      <c r="A61" s="447"/>
      <c r="B61" s="468" t="s">
        <v>247</v>
      </c>
      <c r="C61" s="467" t="s">
        <v>252</v>
      </c>
      <c r="D61" s="366"/>
      <c r="E61" s="366"/>
      <c r="F61" s="366"/>
      <c r="G61" s="367"/>
      <c r="H61" s="367"/>
      <c r="I61" s="367"/>
      <c r="J61" s="367"/>
      <c r="K61" s="367"/>
      <c r="L61" s="367"/>
      <c r="M61" s="367"/>
      <c r="N61" s="367"/>
      <c r="O61" s="367"/>
      <c r="P61" s="367"/>
      <c r="Q61" s="367"/>
      <c r="R61" s="364">
        <f t="shared" si="14"/>
        <v>0</v>
      </c>
      <c r="S61" s="364">
        <f t="shared" si="15"/>
        <v>0</v>
      </c>
    </row>
    <row r="62" spans="1:19" x14ac:dyDescent="0.25">
      <c r="A62" s="447"/>
      <c r="B62" s="468" t="s">
        <v>253</v>
      </c>
      <c r="C62" s="467" t="s">
        <v>257</v>
      </c>
      <c r="D62" s="366"/>
      <c r="E62" s="366"/>
      <c r="F62" s="366"/>
      <c r="G62" s="367"/>
      <c r="H62" s="367"/>
      <c r="I62" s="367"/>
      <c r="J62" s="367"/>
      <c r="K62" s="367"/>
      <c r="L62" s="367"/>
      <c r="M62" s="367"/>
      <c r="N62" s="367"/>
      <c r="O62" s="367"/>
      <c r="P62" s="367"/>
      <c r="Q62" s="367"/>
      <c r="R62" s="364">
        <f t="shared" si="14"/>
        <v>0</v>
      </c>
      <c r="S62" s="364">
        <f t="shared" si="15"/>
        <v>0</v>
      </c>
    </row>
    <row r="63" spans="1:19" x14ac:dyDescent="0.25">
      <c r="A63" s="447"/>
      <c r="B63" s="468" t="s">
        <v>254</v>
      </c>
      <c r="C63" s="467" t="s">
        <v>258</v>
      </c>
      <c r="D63" s="366"/>
      <c r="E63" s="366"/>
      <c r="F63" s="366"/>
      <c r="G63" s="367"/>
      <c r="H63" s="367"/>
      <c r="I63" s="367"/>
      <c r="J63" s="367">
        <f>'2 lentele'!K172</f>
        <v>5927170</v>
      </c>
      <c r="K63" s="367">
        <f>'2 lentele'!P172</f>
        <v>0</v>
      </c>
      <c r="L63" s="367"/>
      <c r="M63" s="367"/>
      <c r="N63" s="367"/>
      <c r="O63" s="367"/>
      <c r="P63" s="367"/>
      <c r="Q63" s="367"/>
      <c r="R63" s="364">
        <f t="shared" si="14"/>
        <v>5927170</v>
      </c>
      <c r="S63" s="364">
        <f t="shared" si="15"/>
        <v>0</v>
      </c>
    </row>
    <row r="64" spans="1:19" ht="24" x14ac:dyDescent="0.25">
      <c r="A64" s="447"/>
      <c r="B64" s="468" t="s">
        <v>255</v>
      </c>
      <c r="C64" s="467" t="s">
        <v>1706</v>
      </c>
      <c r="D64" s="366"/>
      <c r="E64" s="366"/>
      <c r="F64" s="366"/>
      <c r="G64" s="367"/>
      <c r="H64" s="367"/>
      <c r="I64" s="367"/>
      <c r="J64" s="367"/>
      <c r="K64" s="367"/>
      <c r="L64" s="367"/>
      <c r="M64" s="367"/>
      <c r="N64" s="367"/>
      <c r="O64" s="367"/>
      <c r="P64" s="367"/>
      <c r="Q64" s="367"/>
      <c r="R64" s="364">
        <f t="shared" si="14"/>
        <v>0</v>
      </c>
      <c r="S64" s="364">
        <f t="shared" si="15"/>
        <v>0</v>
      </c>
    </row>
    <row r="65" spans="1:19" ht="24" x14ac:dyDescent="0.25">
      <c r="A65" s="447"/>
      <c r="B65" s="468" t="s">
        <v>256</v>
      </c>
      <c r="C65" s="467" t="s">
        <v>1707</v>
      </c>
      <c r="D65" s="366"/>
      <c r="E65" s="366"/>
      <c r="F65" s="366"/>
      <c r="G65" s="367"/>
      <c r="H65" s="367"/>
      <c r="I65" s="367"/>
      <c r="J65" s="367"/>
      <c r="K65" s="367"/>
      <c r="L65" s="367"/>
      <c r="M65" s="367"/>
      <c r="N65" s="367"/>
      <c r="O65" s="367"/>
      <c r="P65" s="367"/>
      <c r="Q65" s="367"/>
      <c r="R65" s="364">
        <f t="shared" si="14"/>
        <v>0</v>
      </c>
      <c r="S65" s="364">
        <f t="shared" si="15"/>
        <v>0</v>
      </c>
    </row>
    <row r="66" spans="1:19" ht="24" x14ac:dyDescent="0.25">
      <c r="A66" s="447"/>
      <c r="B66" s="468" t="s">
        <v>1636</v>
      </c>
      <c r="C66" s="467" t="s">
        <v>1637</v>
      </c>
      <c r="D66" s="366">
        <f t="shared" ref="D66:Q66" si="22">D67+D68</f>
        <v>0</v>
      </c>
      <c r="E66" s="366">
        <f t="shared" si="22"/>
        <v>0</v>
      </c>
      <c r="F66" s="366">
        <f t="shared" si="22"/>
        <v>0</v>
      </c>
      <c r="G66" s="366">
        <f t="shared" si="22"/>
        <v>0</v>
      </c>
      <c r="H66" s="366">
        <f t="shared" si="22"/>
        <v>4666562</v>
      </c>
      <c r="I66" s="366">
        <f t="shared" si="22"/>
        <v>1649000</v>
      </c>
      <c r="J66" s="366">
        <f t="shared" si="22"/>
        <v>1421786.5899999999</v>
      </c>
      <c r="K66" s="366">
        <f t="shared" si="22"/>
        <v>350262.48</v>
      </c>
      <c r="L66" s="366">
        <f t="shared" si="22"/>
        <v>3427344.2300000004</v>
      </c>
      <c r="M66" s="366">
        <f t="shared" si="22"/>
        <v>2913242.51</v>
      </c>
      <c r="N66" s="366">
        <f t="shared" si="22"/>
        <v>0</v>
      </c>
      <c r="O66" s="366">
        <f t="shared" si="22"/>
        <v>0</v>
      </c>
      <c r="P66" s="366">
        <f t="shared" si="22"/>
        <v>0</v>
      </c>
      <c r="Q66" s="366">
        <f t="shared" si="22"/>
        <v>0</v>
      </c>
      <c r="R66" s="364">
        <f t="shared" si="14"/>
        <v>9515692.8200000003</v>
      </c>
      <c r="S66" s="364">
        <f t="shared" si="15"/>
        <v>4912504.99</v>
      </c>
    </row>
    <row r="67" spans="1:19" ht="24" x14ac:dyDescent="0.25">
      <c r="A67" s="447"/>
      <c r="B67" s="468" t="s">
        <v>1708</v>
      </c>
      <c r="C67" s="467" t="s">
        <v>1714</v>
      </c>
      <c r="D67" s="366"/>
      <c r="E67" s="366"/>
      <c r="F67" s="366"/>
      <c r="G67" s="367"/>
      <c r="H67" s="367"/>
      <c r="I67" s="367"/>
      <c r="J67" s="367"/>
      <c r="K67" s="367"/>
      <c r="L67" s="367"/>
      <c r="M67" s="367"/>
      <c r="N67" s="367"/>
      <c r="O67" s="367"/>
      <c r="P67" s="367"/>
      <c r="Q67" s="367"/>
      <c r="R67" s="364">
        <f t="shared" si="14"/>
        <v>0</v>
      </c>
      <c r="S67" s="364">
        <f t="shared" si="15"/>
        <v>0</v>
      </c>
    </row>
    <row r="68" spans="1:19" ht="24" x14ac:dyDescent="0.25">
      <c r="A68" s="447"/>
      <c r="B68" s="468" t="s">
        <v>1709</v>
      </c>
      <c r="C68" s="467" t="s">
        <v>1715</v>
      </c>
      <c r="D68" s="366"/>
      <c r="E68" s="366"/>
      <c r="F68" s="366"/>
      <c r="G68" s="367"/>
      <c r="H68" s="367">
        <f>'2 lentele'!K183+'2 lentele'!K184+'2 lentele'!K186+'2 lentele'!K188+'2 lentele'!K190+'2 lentele'!K191</f>
        <v>4666562</v>
      </c>
      <c r="I68" s="367">
        <f>'2 lentele'!P183+'2 lentele'!P184+'2 lentele'!P186+'2 lentele'!P188+'2 lentele'!P190+'2 lentele'!P191</f>
        <v>1649000</v>
      </c>
      <c r="J68" s="367">
        <f>'2 lentele'!K179+'2 lentele'!K185+'2 lentele'!K187+'2 lentele'!K189+'2 lentele'!K194</f>
        <v>1421786.5899999999</v>
      </c>
      <c r="K68" s="367">
        <f>'2 lentele'!P179+'2 lentele'!P185+'2 lentele'!P187+'2 lentele'!P189+'2 lentele'!P194</f>
        <v>350262.48</v>
      </c>
      <c r="L68" s="367">
        <f>'2 lentele'!K178+'2 lentele'!K180+'2 lentele'!K181+'2 lentele'!K182+'2 lentele'!K192+'2 lentele'!K193+'2 lentele'!K195+'2 lentele'!K196</f>
        <v>3427344.2300000004</v>
      </c>
      <c r="M68" s="367">
        <f>'2 lentele'!P178+'2 lentele'!P180+'2 lentele'!P181+'2 lentele'!P182+'2 lentele'!P192+'2 lentele'!P193+'2 lentele'!P195+'2 lentele'!P196</f>
        <v>2913242.51</v>
      </c>
      <c r="N68" s="367"/>
      <c r="O68" s="367"/>
      <c r="P68" s="367"/>
      <c r="Q68" s="367"/>
      <c r="R68" s="364">
        <f t="shared" si="14"/>
        <v>9515692.8200000003</v>
      </c>
      <c r="S68" s="364">
        <f t="shared" si="15"/>
        <v>4912504.99</v>
      </c>
    </row>
    <row r="69" spans="1:19" ht="24" x14ac:dyDescent="0.25">
      <c r="A69" s="447"/>
      <c r="B69" s="468" t="s">
        <v>952</v>
      </c>
      <c r="C69" s="467" t="s">
        <v>953</v>
      </c>
      <c r="D69" s="366">
        <f t="shared" ref="D69:Q69" si="23">D70+D71+D72+D73</f>
        <v>0</v>
      </c>
      <c r="E69" s="366">
        <f t="shared" si="23"/>
        <v>0</v>
      </c>
      <c r="F69" s="366">
        <f t="shared" si="23"/>
        <v>0</v>
      </c>
      <c r="G69" s="366">
        <f t="shared" si="23"/>
        <v>0</v>
      </c>
      <c r="H69" s="366">
        <f t="shared" si="23"/>
        <v>0</v>
      </c>
      <c r="I69" s="366">
        <f t="shared" si="23"/>
        <v>0</v>
      </c>
      <c r="J69" s="366">
        <f t="shared" si="23"/>
        <v>0</v>
      </c>
      <c r="K69" s="366">
        <f t="shared" si="23"/>
        <v>0</v>
      </c>
      <c r="L69" s="366">
        <f t="shared" si="23"/>
        <v>1521519.46</v>
      </c>
      <c r="M69" s="366">
        <f t="shared" si="23"/>
        <v>1300791.53</v>
      </c>
      <c r="N69" s="366">
        <f t="shared" si="23"/>
        <v>752970</v>
      </c>
      <c r="O69" s="366">
        <f t="shared" si="23"/>
        <v>640024</v>
      </c>
      <c r="P69" s="366">
        <f t="shared" si="23"/>
        <v>0</v>
      </c>
      <c r="Q69" s="366">
        <f t="shared" si="23"/>
        <v>0</v>
      </c>
      <c r="R69" s="364">
        <f t="shared" si="14"/>
        <v>2274489.46</v>
      </c>
      <c r="S69" s="364">
        <f t="shared" si="15"/>
        <v>1940815.53</v>
      </c>
    </row>
    <row r="70" spans="1:19" ht="60" x14ac:dyDescent="0.25">
      <c r="A70" s="447"/>
      <c r="B70" s="468" t="s">
        <v>1710</v>
      </c>
      <c r="C70" s="467" t="s">
        <v>453</v>
      </c>
      <c r="D70" s="366"/>
      <c r="E70" s="366"/>
      <c r="F70" s="366"/>
      <c r="G70" s="367"/>
      <c r="H70" s="367"/>
      <c r="I70" s="367"/>
      <c r="J70" s="367"/>
      <c r="K70" s="367"/>
      <c r="L70" s="367">
        <f>'2 lentele'!K199+'2 lentele'!K200+'2 lentele'!K201+'2 lentele'!K202+'2 lentele'!K204</f>
        <v>1521519.46</v>
      </c>
      <c r="M70" s="367">
        <f>'2 lentele'!P199+'2 lentele'!P200+'2 lentele'!P201+'2 lentele'!P202+'2 lentele'!P204</f>
        <v>1300791.53</v>
      </c>
      <c r="N70" s="367">
        <f>'2 lentele'!K203</f>
        <v>752970</v>
      </c>
      <c r="O70" s="367">
        <f>'2 lentele'!P203</f>
        <v>640024</v>
      </c>
      <c r="P70" s="367"/>
      <c r="Q70" s="367"/>
      <c r="R70" s="364">
        <f t="shared" si="14"/>
        <v>2274489.46</v>
      </c>
      <c r="S70" s="364">
        <f t="shared" si="15"/>
        <v>1940815.53</v>
      </c>
    </row>
    <row r="71" spans="1:19" x14ac:dyDescent="0.25">
      <c r="A71" s="447"/>
      <c r="B71" s="468" t="s">
        <v>1711</v>
      </c>
      <c r="C71" s="467" t="s">
        <v>1716</v>
      </c>
      <c r="D71" s="366"/>
      <c r="E71" s="366"/>
      <c r="F71" s="366"/>
      <c r="G71" s="367"/>
      <c r="H71" s="367"/>
      <c r="I71" s="367"/>
      <c r="J71" s="367"/>
      <c r="K71" s="367"/>
      <c r="L71" s="367"/>
      <c r="M71" s="367"/>
      <c r="N71" s="367"/>
      <c r="O71" s="367"/>
      <c r="P71" s="367"/>
      <c r="Q71" s="367"/>
      <c r="R71" s="364">
        <f t="shared" si="14"/>
        <v>0</v>
      </c>
      <c r="S71" s="364">
        <f t="shared" si="15"/>
        <v>0</v>
      </c>
    </row>
    <row r="72" spans="1:19" x14ac:dyDescent="0.25">
      <c r="A72" s="447"/>
      <c r="B72" s="468" t="s">
        <v>1712</v>
      </c>
      <c r="C72" s="467" t="s">
        <v>1717</v>
      </c>
      <c r="D72" s="366"/>
      <c r="E72" s="366"/>
      <c r="F72" s="366"/>
      <c r="G72" s="367"/>
      <c r="H72" s="367"/>
      <c r="I72" s="367"/>
      <c r="J72" s="367"/>
      <c r="K72" s="367"/>
      <c r="L72" s="367"/>
      <c r="M72" s="367"/>
      <c r="N72" s="367"/>
      <c r="O72" s="367"/>
      <c r="P72" s="367"/>
      <c r="Q72" s="367"/>
      <c r="R72" s="364">
        <f t="shared" si="14"/>
        <v>0</v>
      </c>
      <c r="S72" s="364">
        <f t="shared" si="15"/>
        <v>0</v>
      </c>
    </row>
    <row r="73" spans="1:19" ht="24" x14ac:dyDescent="0.25">
      <c r="A73" s="447"/>
      <c r="B73" s="468" t="s">
        <v>1713</v>
      </c>
      <c r="C73" s="467" t="s">
        <v>1718</v>
      </c>
      <c r="D73" s="366"/>
      <c r="E73" s="366"/>
      <c r="F73" s="366"/>
      <c r="G73" s="367"/>
      <c r="H73" s="367"/>
      <c r="I73" s="367"/>
      <c r="J73" s="367"/>
      <c r="K73" s="367"/>
      <c r="L73" s="367"/>
      <c r="M73" s="367"/>
      <c r="N73" s="367"/>
      <c r="O73" s="367"/>
      <c r="P73" s="367"/>
      <c r="Q73" s="367"/>
      <c r="R73" s="364">
        <f t="shared" si="14"/>
        <v>0</v>
      </c>
      <c r="S73" s="364">
        <f t="shared" si="15"/>
        <v>0</v>
      </c>
    </row>
    <row r="74" spans="1:19" x14ac:dyDescent="0.25">
      <c r="A74" s="447"/>
      <c r="B74" s="465" t="s">
        <v>1638</v>
      </c>
      <c r="C74" s="466" t="s">
        <v>1639</v>
      </c>
      <c r="D74" s="366">
        <f t="shared" ref="D74:Q74" si="24">D75+D76</f>
        <v>0</v>
      </c>
      <c r="E74" s="366">
        <f t="shared" si="24"/>
        <v>0</v>
      </c>
      <c r="F74" s="366">
        <f t="shared" si="24"/>
        <v>0</v>
      </c>
      <c r="G74" s="366">
        <f t="shared" si="24"/>
        <v>0</v>
      </c>
      <c r="H74" s="366">
        <f t="shared" si="24"/>
        <v>0</v>
      </c>
      <c r="I74" s="366">
        <f t="shared" si="24"/>
        <v>0</v>
      </c>
      <c r="J74" s="366">
        <f t="shared" si="24"/>
        <v>1262368.8199999998</v>
      </c>
      <c r="K74" s="366">
        <f t="shared" si="24"/>
        <v>1073013.2</v>
      </c>
      <c r="L74" s="366">
        <f t="shared" si="24"/>
        <v>2367105.38</v>
      </c>
      <c r="M74" s="366">
        <f t="shared" si="24"/>
        <v>757235</v>
      </c>
      <c r="N74" s="366">
        <f t="shared" si="24"/>
        <v>0</v>
      </c>
      <c r="O74" s="366">
        <f t="shared" si="24"/>
        <v>0</v>
      </c>
      <c r="P74" s="366">
        <f t="shared" si="24"/>
        <v>0</v>
      </c>
      <c r="Q74" s="366">
        <f t="shared" si="24"/>
        <v>0</v>
      </c>
      <c r="R74" s="364">
        <f t="shared" ref="R74:R105" si="25">D74+F74+H74+J74+L74+N74+P74</f>
        <v>3629474.1999999997</v>
      </c>
      <c r="S74" s="364">
        <f t="shared" ref="S74:S105" si="26">E74+G74+I74+K74+M74+O74+Q74</f>
        <v>1830248.2</v>
      </c>
    </row>
    <row r="75" spans="1:19" ht="36" x14ac:dyDescent="0.25">
      <c r="A75" s="447"/>
      <c r="B75" s="468" t="s">
        <v>1719</v>
      </c>
      <c r="C75" s="467" t="s">
        <v>1747</v>
      </c>
      <c r="D75" s="366"/>
      <c r="E75" s="366"/>
      <c r="F75" s="366"/>
      <c r="G75" s="367"/>
      <c r="H75" s="367"/>
      <c r="I75" s="367"/>
      <c r="J75" s="367">
        <f>'2 lentele'!K210+'2 lentele'!K211+'2 lentele'!K213+'2 lentele'!K214+'2 lentele'!K215+'2 lentele'!K216+'2 lentele'!K218</f>
        <v>1262368.8199999998</v>
      </c>
      <c r="K75" s="367">
        <f>'2 lentele'!P210+'2 lentele'!P211+'2 lentele'!P213+'2 lentele'!P214+'2 lentele'!P215+'2 lentele'!P216+'2 lentele'!P218</f>
        <v>1073013.2</v>
      </c>
      <c r="L75" s="367">
        <f>'2 lentele'!K212+'2 lentele'!K217</f>
        <v>2367105.38</v>
      </c>
      <c r="M75" s="367">
        <f>'2 lentele'!P212+'2 lentele'!P217</f>
        <v>757235</v>
      </c>
      <c r="N75" s="367"/>
      <c r="O75" s="367"/>
      <c r="P75" s="367"/>
      <c r="Q75" s="367"/>
      <c r="R75" s="364">
        <f t="shared" si="25"/>
        <v>3629474.1999999997</v>
      </c>
      <c r="S75" s="364">
        <f t="shared" si="26"/>
        <v>1830248.2</v>
      </c>
    </row>
    <row r="76" spans="1:19" ht="36" x14ac:dyDescent="0.25">
      <c r="A76" s="447"/>
      <c r="B76" s="468" t="s">
        <v>1720</v>
      </c>
      <c r="C76" s="467" t="s">
        <v>1748</v>
      </c>
      <c r="D76" s="366"/>
      <c r="E76" s="366"/>
      <c r="F76" s="366"/>
      <c r="G76" s="367"/>
      <c r="H76" s="367"/>
      <c r="I76" s="367"/>
      <c r="J76" s="367"/>
      <c r="K76" s="367"/>
      <c r="L76" s="367"/>
      <c r="M76" s="367"/>
      <c r="N76" s="367"/>
      <c r="O76" s="367"/>
      <c r="P76" s="367"/>
      <c r="Q76" s="367"/>
      <c r="R76" s="364">
        <f t="shared" si="25"/>
        <v>0</v>
      </c>
      <c r="S76" s="364">
        <f t="shared" si="26"/>
        <v>0</v>
      </c>
    </row>
    <row r="77" spans="1:19" ht="24" x14ac:dyDescent="0.25">
      <c r="A77" s="447"/>
      <c r="B77" s="465" t="s">
        <v>1603</v>
      </c>
      <c r="C77" s="466" t="s">
        <v>1602</v>
      </c>
      <c r="D77" s="366">
        <f t="shared" ref="D77:Q77" si="27">D78+D89</f>
        <v>0</v>
      </c>
      <c r="E77" s="366">
        <f t="shared" si="27"/>
        <v>0</v>
      </c>
      <c r="F77" s="366">
        <f t="shared" si="27"/>
        <v>0</v>
      </c>
      <c r="G77" s="366">
        <f t="shared" si="27"/>
        <v>0</v>
      </c>
      <c r="H77" s="366">
        <f t="shared" si="27"/>
        <v>11909839.470000001</v>
      </c>
      <c r="I77" s="366">
        <f t="shared" si="27"/>
        <v>10123364</v>
      </c>
      <c r="J77" s="366">
        <f t="shared" si="27"/>
        <v>4003756.75</v>
      </c>
      <c r="K77" s="366">
        <f t="shared" si="27"/>
        <v>3114772.12</v>
      </c>
      <c r="L77" s="366">
        <f t="shared" si="27"/>
        <v>414856.83</v>
      </c>
      <c r="M77" s="366">
        <f t="shared" si="27"/>
        <v>350519.88</v>
      </c>
      <c r="N77" s="366">
        <f t="shared" si="27"/>
        <v>0</v>
      </c>
      <c r="O77" s="366">
        <f t="shared" si="27"/>
        <v>0</v>
      </c>
      <c r="P77" s="366">
        <f t="shared" si="27"/>
        <v>0</v>
      </c>
      <c r="Q77" s="366">
        <f t="shared" si="27"/>
        <v>0</v>
      </c>
      <c r="R77" s="364">
        <f t="shared" si="25"/>
        <v>16328453.050000001</v>
      </c>
      <c r="S77" s="364">
        <f t="shared" si="26"/>
        <v>13588656.000000002</v>
      </c>
    </row>
    <row r="78" spans="1:19" ht="36" x14ac:dyDescent="0.25">
      <c r="A78" s="447"/>
      <c r="B78" s="465" t="s">
        <v>1640</v>
      </c>
      <c r="C78" s="466" t="s">
        <v>1641</v>
      </c>
      <c r="D78" s="366">
        <f t="shared" ref="D78:Q78" si="28">D79+D80+D81+D82+D83+D84+D85+D86+D87+D88</f>
        <v>0</v>
      </c>
      <c r="E78" s="366">
        <f t="shared" si="28"/>
        <v>0</v>
      </c>
      <c r="F78" s="366">
        <f t="shared" si="28"/>
        <v>0</v>
      </c>
      <c r="G78" s="366">
        <f t="shared" si="28"/>
        <v>0</v>
      </c>
      <c r="H78" s="366">
        <f t="shared" si="28"/>
        <v>0</v>
      </c>
      <c r="I78" s="366">
        <f t="shared" si="28"/>
        <v>0</v>
      </c>
      <c r="J78" s="366">
        <f t="shared" si="28"/>
        <v>4003756.75</v>
      </c>
      <c r="K78" s="366">
        <f t="shared" si="28"/>
        <v>3114772.12</v>
      </c>
      <c r="L78" s="366">
        <f t="shared" si="28"/>
        <v>414856.83</v>
      </c>
      <c r="M78" s="366">
        <f t="shared" si="28"/>
        <v>350519.88</v>
      </c>
      <c r="N78" s="366">
        <f t="shared" si="28"/>
        <v>0</v>
      </c>
      <c r="O78" s="366">
        <f t="shared" si="28"/>
        <v>0</v>
      </c>
      <c r="P78" s="366">
        <f t="shared" si="28"/>
        <v>0</v>
      </c>
      <c r="Q78" s="366">
        <f t="shared" si="28"/>
        <v>0</v>
      </c>
      <c r="R78" s="364">
        <f t="shared" si="25"/>
        <v>4418613.58</v>
      </c>
      <c r="S78" s="364">
        <f t="shared" si="26"/>
        <v>3465292</v>
      </c>
    </row>
    <row r="79" spans="1:19" x14ac:dyDescent="0.25">
      <c r="A79" s="447"/>
      <c r="B79" s="468" t="s">
        <v>1721</v>
      </c>
      <c r="C79" s="467" t="s">
        <v>1749</v>
      </c>
      <c r="D79" s="366"/>
      <c r="E79" s="366"/>
      <c r="F79" s="366"/>
      <c r="G79" s="367"/>
      <c r="H79" s="367"/>
      <c r="I79" s="367"/>
      <c r="J79" s="367"/>
      <c r="K79" s="367"/>
      <c r="L79" s="367"/>
      <c r="M79" s="367"/>
      <c r="N79" s="367"/>
      <c r="O79" s="367"/>
      <c r="P79" s="367"/>
      <c r="Q79" s="367"/>
      <c r="R79" s="364">
        <f t="shared" si="25"/>
        <v>0</v>
      </c>
      <c r="S79" s="364">
        <f t="shared" si="26"/>
        <v>0</v>
      </c>
    </row>
    <row r="80" spans="1:19" ht="24" x14ac:dyDescent="0.25">
      <c r="A80" s="447"/>
      <c r="B80" s="468" t="s">
        <v>1722</v>
      </c>
      <c r="C80" s="467" t="s">
        <v>1750</v>
      </c>
      <c r="D80" s="366"/>
      <c r="E80" s="366"/>
      <c r="F80" s="366"/>
      <c r="G80" s="367"/>
      <c r="H80" s="367"/>
      <c r="I80" s="367"/>
      <c r="J80" s="367"/>
      <c r="K80" s="367"/>
      <c r="L80" s="367"/>
      <c r="M80" s="367"/>
      <c r="N80" s="367"/>
      <c r="O80" s="367"/>
      <c r="P80" s="367"/>
      <c r="Q80" s="367"/>
      <c r="R80" s="364">
        <f t="shared" si="25"/>
        <v>0</v>
      </c>
      <c r="S80" s="364">
        <f t="shared" si="26"/>
        <v>0</v>
      </c>
    </row>
    <row r="81" spans="1:19" ht="24" x14ac:dyDescent="0.25">
      <c r="A81" s="447"/>
      <c r="B81" s="468" t="s">
        <v>1723</v>
      </c>
      <c r="C81" s="467" t="s">
        <v>1751</v>
      </c>
      <c r="D81" s="366"/>
      <c r="E81" s="366"/>
      <c r="F81" s="366"/>
      <c r="G81" s="367"/>
      <c r="H81" s="367"/>
      <c r="I81" s="367"/>
      <c r="J81" s="367"/>
      <c r="K81" s="367"/>
      <c r="L81" s="367"/>
      <c r="M81" s="367"/>
      <c r="N81" s="367"/>
      <c r="O81" s="367"/>
      <c r="P81" s="367"/>
      <c r="Q81" s="367"/>
      <c r="R81" s="364">
        <f t="shared" si="25"/>
        <v>0</v>
      </c>
      <c r="S81" s="364">
        <f t="shared" si="26"/>
        <v>0</v>
      </c>
    </row>
    <row r="82" spans="1:19" ht="24" x14ac:dyDescent="0.25">
      <c r="A82" s="447"/>
      <c r="B82" s="468" t="s">
        <v>1724</v>
      </c>
      <c r="C82" s="467" t="s">
        <v>1752</v>
      </c>
      <c r="D82" s="366"/>
      <c r="E82" s="366"/>
      <c r="F82" s="366"/>
      <c r="G82" s="367"/>
      <c r="H82" s="367"/>
      <c r="I82" s="367"/>
      <c r="J82" s="367"/>
      <c r="K82" s="367"/>
      <c r="L82" s="367"/>
      <c r="M82" s="367"/>
      <c r="N82" s="367"/>
      <c r="O82" s="367"/>
      <c r="P82" s="367"/>
      <c r="Q82" s="367"/>
      <c r="R82" s="364">
        <f t="shared" si="25"/>
        <v>0</v>
      </c>
      <c r="S82" s="364">
        <f t="shared" si="26"/>
        <v>0</v>
      </c>
    </row>
    <row r="83" spans="1:19" ht="36" x14ac:dyDescent="0.25">
      <c r="A83" s="447"/>
      <c r="B83" s="468" t="s">
        <v>1725</v>
      </c>
      <c r="C83" s="467" t="s">
        <v>805</v>
      </c>
      <c r="D83" s="366"/>
      <c r="E83" s="366"/>
      <c r="F83" s="366"/>
      <c r="G83" s="367"/>
      <c r="H83" s="367"/>
      <c r="I83" s="367"/>
      <c r="J83" s="367"/>
      <c r="K83" s="367"/>
      <c r="L83" s="367"/>
      <c r="M83" s="367"/>
      <c r="N83" s="367"/>
      <c r="O83" s="367"/>
      <c r="P83" s="367"/>
      <c r="Q83" s="367"/>
      <c r="R83" s="364">
        <f t="shared" si="25"/>
        <v>0</v>
      </c>
      <c r="S83" s="364">
        <f t="shared" si="26"/>
        <v>0</v>
      </c>
    </row>
    <row r="84" spans="1:19" ht="36" x14ac:dyDescent="0.25">
      <c r="A84" s="447"/>
      <c r="B84" s="468" t="s">
        <v>1726</v>
      </c>
      <c r="C84" s="467" t="s">
        <v>1753</v>
      </c>
      <c r="D84" s="366"/>
      <c r="E84" s="366"/>
      <c r="F84" s="366"/>
      <c r="G84" s="367"/>
      <c r="H84" s="367"/>
      <c r="I84" s="367"/>
      <c r="J84" s="367">
        <f>'2 lentele'!K228</f>
        <v>874196.95</v>
      </c>
      <c r="K84" s="367">
        <f>'2 lentele'!P228</f>
        <v>454646.31</v>
      </c>
      <c r="L84" s="367"/>
      <c r="M84" s="367"/>
      <c r="N84" s="367"/>
      <c r="O84" s="367"/>
      <c r="P84" s="367"/>
      <c r="Q84" s="367"/>
      <c r="R84" s="364">
        <f t="shared" si="25"/>
        <v>874196.95</v>
      </c>
      <c r="S84" s="364">
        <f t="shared" si="26"/>
        <v>454646.31</v>
      </c>
    </row>
    <row r="85" spans="1:19" ht="24" x14ac:dyDescent="0.25">
      <c r="A85" s="447"/>
      <c r="B85" s="468" t="s">
        <v>1727</v>
      </c>
      <c r="C85" s="467" t="s">
        <v>1754</v>
      </c>
      <c r="D85" s="366"/>
      <c r="E85" s="366"/>
      <c r="F85" s="366"/>
      <c r="G85" s="367"/>
      <c r="H85" s="367"/>
      <c r="I85" s="367"/>
      <c r="J85" s="367">
        <f>'2 lentele'!K231+'2 lentele'!K232+'2 lentele'!K233+'2 lentele'!K234</f>
        <v>2572752.63</v>
      </c>
      <c r="K85" s="367">
        <f>'2 lentele'!P231+'2 lentele'!P232+'2 lentele'!P233+'2 lentele'!P234</f>
        <v>2186839.7200000002</v>
      </c>
      <c r="L85" s="367">
        <f>'2 lentele'!K230</f>
        <v>414856.83</v>
      </c>
      <c r="M85" s="367">
        <f>'2 lentele'!P230</f>
        <v>350519.88</v>
      </c>
      <c r="N85" s="367"/>
      <c r="O85" s="367"/>
      <c r="P85" s="367"/>
      <c r="Q85" s="367"/>
      <c r="R85" s="364">
        <f t="shared" si="25"/>
        <v>2987609.46</v>
      </c>
      <c r="S85" s="364">
        <f t="shared" si="26"/>
        <v>2537359.6</v>
      </c>
    </row>
    <row r="86" spans="1:19" ht="24" x14ac:dyDescent="0.25">
      <c r="A86" s="447"/>
      <c r="B86" s="468" t="s">
        <v>1728</v>
      </c>
      <c r="C86" s="467" t="s">
        <v>1755</v>
      </c>
      <c r="D86" s="366"/>
      <c r="E86" s="366"/>
      <c r="F86" s="366"/>
      <c r="G86" s="367"/>
      <c r="H86" s="367"/>
      <c r="I86" s="367"/>
      <c r="J86" s="367"/>
      <c r="K86" s="367"/>
      <c r="L86" s="367"/>
      <c r="M86" s="367"/>
      <c r="N86" s="367"/>
      <c r="O86" s="367"/>
      <c r="P86" s="367"/>
      <c r="Q86" s="367"/>
      <c r="R86" s="364">
        <f t="shared" si="25"/>
        <v>0</v>
      </c>
      <c r="S86" s="364">
        <f t="shared" si="26"/>
        <v>0</v>
      </c>
    </row>
    <row r="87" spans="1:19" ht="36" x14ac:dyDescent="0.25">
      <c r="A87" s="447"/>
      <c r="B87" s="468" t="s">
        <v>1729</v>
      </c>
      <c r="C87" s="467" t="s">
        <v>1756</v>
      </c>
      <c r="D87" s="366"/>
      <c r="E87" s="366"/>
      <c r="F87" s="366"/>
      <c r="G87" s="367"/>
      <c r="H87" s="367"/>
      <c r="I87" s="367"/>
      <c r="J87" s="367">
        <f>'2 lentele'!K237</f>
        <v>210278.17</v>
      </c>
      <c r="K87" s="367">
        <f>'2 lentele'!P237</f>
        <v>178736.44</v>
      </c>
      <c r="L87" s="367"/>
      <c r="M87" s="367"/>
      <c r="N87" s="367"/>
      <c r="O87" s="367"/>
      <c r="P87" s="367"/>
      <c r="Q87" s="367"/>
      <c r="R87" s="364">
        <f t="shared" si="25"/>
        <v>210278.17</v>
      </c>
      <c r="S87" s="364">
        <f t="shared" si="26"/>
        <v>178736.44</v>
      </c>
    </row>
    <row r="88" spans="1:19" ht="36" x14ac:dyDescent="0.25">
      <c r="A88" s="447"/>
      <c r="B88" s="468" t="s">
        <v>1730</v>
      </c>
      <c r="C88" s="467" t="s">
        <v>1757</v>
      </c>
      <c r="D88" s="366"/>
      <c r="E88" s="366"/>
      <c r="F88" s="366"/>
      <c r="G88" s="367"/>
      <c r="H88" s="367"/>
      <c r="I88" s="367"/>
      <c r="J88" s="367">
        <f>'2 lentele'!K239</f>
        <v>346529</v>
      </c>
      <c r="K88" s="367">
        <f>'2 lentele'!P239</f>
        <v>294549.65000000002</v>
      </c>
      <c r="L88" s="367"/>
      <c r="M88" s="367"/>
      <c r="N88" s="367"/>
      <c r="O88" s="367"/>
      <c r="P88" s="367"/>
      <c r="Q88" s="367"/>
      <c r="R88" s="364">
        <f t="shared" si="25"/>
        <v>346529</v>
      </c>
      <c r="S88" s="364">
        <f t="shared" si="26"/>
        <v>294549.65000000002</v>
      </c>
    </row>
    <row r="89" spans="1:19" ht="24" x14ac:dyDescent="0.25">
      <c r="A89" s="447"/>
      <c r="B89" s="465" t="s">
        <v>1605</v>
      </c>
      <c r="C89" s="466" t="s">
        <v>1604</v>
      </c>
      <c r="D89" s="366">
        <f t="shared" ref="D89:Q89" si="29">D90+D91+D92</f>
        <v>0</v>
      </c>
      <c r="E89" s="366">
        <f t="shared" si="29"/>
        <v>0</v>
      </c>
      <c r="F89" s="366">
        <f t="shared" si="29"/>
        <v>0</v>
      </c>
      <c r="G89" s="366">
        <f t="shared" si="29"/>
        <v>0</v>
      </c>
      <c r="H89" s="366">
        <f t="shared" si="29"/>
        <v>11909839.470000001</v>
      </c>
      <c r="I89" s="366">
        <f t="shared" si="29"/>
        <v>10123364</v>
      </c>
      <c r="J89" s="366">
        <f t="shared" si="29"/>
        <v>0</v>
      </c>
      <c r="K89" s="366">
        <f t="shared" si="29"/>
        <v>0</v>
      </c>
      <c r="L89" s="366">
        <f t="shared" si="29"/>
        <v>0</v>
      </c>
      <c r="M89" s="366">
        <f t="shared" si="29"/>
        <v>0</v>
      </c>
      <c r="N89" s="366">
        <f t="shared" si="29"/>
        <v>0</v>
      </c>
      <c r="O89" s="366">
        <f t="shared" si="29"/>
        <v>0</v>
      </c>
      <c r="P89" s="366">
        <f t="shared" si="29"/>
        <v>0</v>
      </c>
      <c r="Q89" s="366">
        <f t="shared" si="29"/>
        <v>0</v>
      </c>
      <c r="R89" s="364">
        <f t="shared" si="25"/>
        <v>11909839.470000001</v>
      </c>
      <c r="S89" s="364">
        <f t="shared" si="26"/>
        <v>10123364</v>
      </c>
    </row>
    <row r="90" spans="1:19" x14ac:dyDescent="0.25">
      <c r="A90" s="447"/>
      <c r="B90" s="468" t="s">
        <v>1731</v>
      </c>
      <c r="C90" s="467" t="s">
        <v>1758</v>
      </c>
      <c r="D90" s="366"/>
      <c r="E90" s="366"/>
      <c r="F90" s="366"/>
      <c r="G90" s="367"/>
      <c r="H90" s="367">
        <f>'2 lentele'!K243</f>
        <v>550568</v>
      </c>
      <c r="I90" s="367">
        <f>'2 lentele'!P243</f>
        <v>467983</v>
      </c>
      <c r="J90" s="367"/>
      <c r="K90" s="367"/>
      <c r="L90" s="367"/>
      <c r="M90" s="367"/>
      <c r="N90" s="367"/>
      <c r="O90" s="367"/>
      <c r="P90" s="367"/>
      <c r="Q90" s="367"/>
      <c r="R90" s="364">
        <f t="shared" si="25"/>
        <v>550568</v>
      </c>
      <c r="S90" s="364">
        <f t="shared" si="26"/>
        <v>467983</v>
      </c>
    </row>
    <row r="91" spans="1:19" ht="24" x14ac:dyDescent="0.25">
      <c r="A91" s="447"/>
      <c r="B91" s="468" t="s">
        <v>1732</v>
      </c>
      <c r="C91" s="467" t="s">
        <v>1759</v>
      </c>
      <c r="D91" s="366"/>
      <c r="E91" s="366"/>
      <c r="F91" s="366"/>
      <c r="G91" s="367"/>
      <c r="H91" s="367"/>
      <c r="I91" s="367"/>
      <c r="J91" s="367"/>
      <c r="K91" s="367"/>
      <c r="L91" s="367"/>
      <c r="M91" s="367"/>
      <c r="N91" s="367"/>
      <c r="O91" s="367"/>
      <c r="P91" s="367"/>
      <c r="Q91" s="367"/>
      <c r="R91" s="364">
        <f t="shared" si="25"/>
        <v>0</v>
      </c>
      <c r="S91" s="364">
        <f t="shared" si="26"/>
        <v>0</v>
      </c>
    </row>
    <row r="92" spans="1:19" ht="24" x14ac:dyDescent="0.25">
      <c r="A92" s="447"/>
      <c r="B92" s="465" t="s">
        <v>1606</v>
      </c>
      <c r="C92" s="466" t="s">
        <v>1607</v>
      </c>
      <c r="D92" s="366"/>
      <c r="E92" s="366"/>
      <c r="F92" s="366"/>
      <c r="G92" s="367"/>
      <c r="H92" s="367">
        <f>'2 lentele'!K246+'2 lentele'!K247+'2 lentele'!K248+'2 lentele'!K249+'2 lentele'!K250+'2 lentele'!K251+'2 lentele'!K252</f>
        <v>11359271.470000001</v>
      </c>
      <c r="I92" s="367">
        <f>'2 lentele'!P246+'2 lentele'!P247+'2 lentele'!P248+'2 lentele'!P249+'2 lentele'!P250+'2 lentele'!P251+'2 lentele'!P252</f>
        <v>9655381</v>
      </c>
      <c r="J92" s="367"/>
      <c r="K92" s="367"/>
      <c r="L92" s="367"/>
      <c r="M92" s="367"/>
      <c r="N92" s="367"/>
      <c r="O92" s="367"/>
      <c r="P92" s="367"/>
      <c r="Q92" s="367"/>
      <c r="R92" s="364">
        <f t="shared" si="25"/>
        <v>11359271.470000001</v>
      </c>
      <c r="S92" s="364">
        <f t="shared" si="26"/>
        <v>9655381</v>
      </c>
    </row>
    <row r="93" spans="1:19" ht="24" x14ac:dyDescent="0.25">
      <c r="A93" s="447"/>
      <c r="B93" s="465" t="s">
        <v>1642</v>
      </c>
      <c r="C93" s="466" t="s">
        <v>1643</v>
      </c>
      <c r="D93" s="366">
        <f t="shared" ref="D93:Q93" si="30">D94+D101</f>
        <v>0</v>
      </c>
      <c r="E93" s="366">
        <f t="shared" si="30"/>
        <v>0</v>
      </c>
      <c r="F93" s="366">
        <f t="shared" si="30"/>
        <v>0</v>
      </c>
      <c r="G93" s="366">
        <f t="shared" si="30"/>
        <v>0</v>
      </c>
      <c r="H93" s="366">
        <f t="shared" si="30"/>
        <v>594909</v>
      </c>
      <c r="I93" s="366">
        <f t="shared" si="30"/>
        <v>0</v>
      </c>
      <c r="J93" s="366">
        <f t="shared" si="30"/>
        <v>3851508.5759962928</v>
      </c>
      <c r="K93" s="366">
        <f t="shared" si="30"/>
        <v>628359.59599629289</v>
      </c>
      <c r="L93" s="366">
        <f t="shared" si="30"/>
        <v>4189334.6399999997</v>
      </c>
      <c r="M93" s="366">
        <f t="shared" si="30"/>
        <v>3560926.99</v>
      </c>
      <c r="N93" s="366">
        <f t="shared" si="30"/>
        <v>0</v>
      </c>
      <c r="O93" s="366">
        <f t="shared" si="30"/>
        <v>0</v>
      </c>
      <c r="P93" s="366">
        <f t="shared" si="30"/>
        <v>0</v>
      </c>
      <c r="Q93" s="366">
        <f t="shared" si="30"/>
        <v>0</v>
      </c>
      <c r="R93" s="364">
        <f t="shared" si="25"/>
        <v>8635752.2159962915</v>
      </c>
      <c r="S93" s="364">
        <f t="shared" si="26"/>
        <v>4189286.585996293</v>
      </c>
    </row>
    <row r="94" spans="1:19" ht="24" x14ac:dyDescent="0.25">
      <c r="A94" s="447"/>
      <c r="B94" s="465" t="s">
        <v>1644</v>
      </c>
      <c r="C94" s="466" t="s">
        <v>1652</v>
      </c>
      <c r="D94" s="366">
        <f t="shared" ref="D94:Q94" si="31">D95+D96+D97+D98+D99+D100</f>
        <v>0</v>
      </c>
      <c r="E94" s="366">
        <f t="shared" si="31"/>
        <v>0</v>
      </c>
      <c r="F94" s="366">
        <f t="shared" si="31"/>
        <v>0</v>
      </c>
      <c r="G94" s="366">
        <f t="shared" si="31"/>
        <v>0</v>
      </c>
      <c r="H94" s="366">
        <f t="shared" si="31"/>
        <v>0</v>
      </c>
      <c r="I94" s="366">
        <f t="shared" si="31"/>
        <v>0</v>
      </c>
      <c r="J94" s="366">
        <f t="shared" si="31"/>
        <v>0</v>
      </c>
      <c r="K94" s="366">
        <f t="shared" si="31"/>
        <v>0</v>
      </c>
      <c r="L94" s="366">
        <f t="shared" si="31"/>
        <v>1658562.3699999999</v>
      </c>
      <c r="M94" s="366">
        <f t="shared" si="31"/>
        <v>1409777.9900000002</v>
      </c>
      <c r="N94" s="366">
        <f t="shared" si="31"/>
        <v>0</v>
      </c>
      <c r="O94" s="366">
        <f t="shared" si="31"/>
        <v>0</v>
      </c>
      <c r="P94" s="366">
        <f t="shared" si="31"/>
        <v>0</v>
      </c>
      <c r="Q94" s="366">
        <f t="shared" si="31"/>
        <v>0</v>
      </c>
      <c r="R94" s="364">
        <f t="shared" si="25"/>
        <v>1658562.3699999999</v>
      </c>
      <c r="S94" s="364">
        <f t="shared" si="26"/>
        <v>1409777.9900000002</v>
      </c>
    </row>
    <row r="95" spans="1:19" ht="24" x14ac:dyDescent="0.25">
      <c r="A95" s="447"/>
      <c r="B95" s="468" t="s">
        <v>1733</v>
      </c>
      <c r="C95" s="467" t="s">
        <v>1760</v>
      </c>
      <c r="D95" s="366"/>
      <c r="E95" s="366"/>
      <c r="F95" s="366"/>
      <c r="G95" s="367"/>
      <c r="H95" s="367"/>
      <c r="I95" s="367"/>
      <c r="J95" s="367"/>
      <c r="K95" s="367"/>
      <c r="L95" s="367"/>
      <c r="M95" s="367"/>
      <c r="N95" s="367"/>
      <c r="O95" s="367"/>
      <c r="P95" s="367"/>
      <c r="Q95" s="367"/>
      <c r="R95" s="364">
        <f t="shared" si="25"/>
        <v>0</v>
      </c>
      <c r="S95" s="364">
        <f t="shared" si="26"/>
        <v>0</v>
      </c>
    </row>
    <row r="96" spans="1:19" ht="24" x14ac:dyDescent="0.25">
      <c r="A96" s="447"/>
      <c r="B96" s="468" t="s">
        <v>1734</v>
      </c>
      <c r="C96" s="467" t="s">
        <v>1761</v>
      </c>
      <c r="D96" s="366"/>
      <c r="E96" s="366"/>
      <c r="F96" s="366"/>
      <c r="G96" s="367"/>
      <c r="H96" s="367"/>
      <c r="I96" s="367"/>
      <c r="J96" s="367"/>
      <c r="K96" s="367"/>
      <c r="L96" s="367"/>
      <c r="M96" s="367"/>
      <c r="N96" s="367"/>
      <c r="O96" s="367"/>
      <c r="P96" s="367"/>
      <c r="Q96" s="367"/>
      <c r="R96" s="364">
        <f t="shared" si="25"/>
        <v>0</v>
      </c>
      <c r="S96" s="364">
        <f t="shared" si="26"/>
        <v>0</v>
      </c>
    </row>
    <row r="97" spans="1:19" ht="24" x14ac:dyDescent="0.25">
      <c r="A97" s="447"/>
      <c r="B97" s="468" t="s">
        <v>1735</v>
      </c>
      <c r="C97" s="467" t="s">
        <v>1762</v>
      </c>
      <c r="D97" s="366"/>
      <c r="E97" s="366"/>
      <c r="F97" s="366"/>
      <c r="G97" s="367"/>
      <c r="H97" s="367"/>
      <c r="I97" s="367"/>
      <c r="J97" s="367"/>
      <c r="K97" s="367"/>
      <c r="L97" s="367">
        <f>'2 lentele'!K258+'2 lentele'!K259+'2 lentele'!K260+'2 lentele'!K261+'2 lentele'!K262+'2 lentele'!K263+'2 lentele'!K264+'2 lentele'!K265</f>
        <v>1658562.3699999999</v>
      </c>
      <c r="M97" s="367">
        <f>'2 lentele'!P258+'2 lentele'!P259+'2 lentele'!P260+'2 lentele'!P261+'2 lentele'!P262+'2 lentele'!P263+'2 lentele'!P264+'2 lentele'!P265</f>
        <v>1409777.9900000002</v>
      </c>
      <c r="N97" s="367"/>
      <c r="O97" s="367"/>
      <c r="P97" s="367"/>
      <c r="Q97" s="367"/>
      <c r="R97" s="364">
        <f t="shared" si="25"/>
        <v>1658562.3699999999</v>
      </c>
      <c r="S97" s="364">
        <f t="shared" si="26"/>
        <v>1409777.9900000002</v>
      </c>
    </row>
    <row r="98" spans="1:19" ht="36" x14ac:dyDescent="0.25">
      <c r="A98" s="447"/>
      <c r="B98" s="468" t="s">
        <v>1736</v>
      </c>
      <c r="C98" s="467" t="s">
        <v>1763</v>
      </c>
      <c r="D98" s="366"/>
      <c r="E98" s="366"/>
      <c r="F98" s="366"/>
      <c r="G98" s="367"/>
      <c r="H98" s="367"/>
      <c r="I98" s="367"/>
      <c r="J98" s="367"/>
      <c r="K98" s="367"/>
      <c r="L98" s="367"/>
      <c r="M98" s="367"/>
      <c r="N98" s="367"/>
      <c r="O98" s="367"/>
      <c r="P98" s="367"/>
      <c r="Q98" s="367"/>
      <c r="R98" s="364">
        <f t="shared" si="25"/>
        <v>0</v>
      </c>
      <c r="S98" s="364">
        <f t="shared" si="26"/>
        <v>0</v>
      </c>
    </row>
    <row r="99" spans="1:19" ht="24" x14ac:dyDescent="0.25">
      <c r="A99" s="447"/>
      <c r="B99" s="468" t="s">
        <v>1737</v>
      </c>
      <c r="C99" s="467" t="s">
        <v>1764</v>
      </c>
      <c r="D99" s="366"/>
      <c r="E99" s="366"/>
      <c r="F99" s="366"/>
      <c r="G99" s="367"/>
      <c r="H99" s="367"/>
      <c r="I99" s="367"/>
      <c r="J99" s="367"/>
      <c r="K99" s="367"/>
      <c r="L99" s="367"/>
      <c r="M99" s="367"/>
      <c r="N99" s="367"/>
      <c r="O99" s="367"/>
      <c r="P99" s="367"/>
      <c r="Q99" s="367"/>
      <c r="R99" s="364">
        <f t="shared" si="25"/>
        <v>0</v>
      </c>
      <c r="S99" s="364">
        <f t="shared" si="26"/>
        <v>0</v>
      </c>
    </row>
    <row r="100" spans="1:19" ht="24" x14ac:dyDescent="0.25">
      <c r="A100" s="447"/>
      <c r="B100" s="468" t="s">
        <v>1738</v>
      </c>
      <c r="C100" s="467" t="s">
        <v>1765</v>
      </c>
      <c r="D100" s="366"/>
      <c r="E100" s="366"/>
      <c r="F100" s="366"/>
      <c r="G100" s="367"/>
      <c r="H100" s="367"/>
      <c r="I100" s="367"/>
      <c r="J100" s="367"/>
      <c r="K100" s="367"/>
      <c r="L100" s="367"/>
      <c r="M100" s="367"/>
      <c r="N100" s="367"/>
      <c r="O100" s="367"/>
      <c r="P100" s="367"/>
      <c r="Q100" s="367"/>
      <c r="R100" s="364">
        <f t="shared" si="25"/>
        <v>0</v>
      </c>
      <c r="S100" s="364">
        <f t="shared" si="26"/>
        <v>0</v>
      </c>
    </row>
    <row r="101" spans="1:19" ht="24" x14ac:dyDescent="0.25">
      <c r="A101" s="447"/>
      <c r="B101" s="465" t="s">
        <v>1645</v>
      </c>
      <c r="C101" s="466" t="s">
        <v>1653</v>
      </c>
      <c r="D101" s="366">
        <f t="shared" ref="D101:Q101" si="32">D102+D103+D104</f>
        <v>0</v>
      </c>
      <c r="E101" s="366">
        <f t="shared" si="32"/>
        <v>0</v>
      </c>
      <c r="F101" s="366">
        <f t="shared" si="32"/>
        <v>0</v>
      </c>
      <c r="G101" s="366">
        <f t="shared" si="32"/>
        <v>0</v>
      </c>
      <c r="H101" s="366">
        <f t="shared" si="32"/>
        <v>594909</v>
      </c>
      <c r="I101" s="366">
        <f t="shared" si="32"/>
        <v>0</v>
      </c>
      <c r="J101" s="366">
        <f t="shared" si="32"/>
        <v>3851508.5759962928</v>
      </c>
      <c r="K101" s="366">
        <f t="shared" si="32"/>
        <v>628359.59599629289</v>
      </c>
      <c r="L101" s="366">
        <f t="shared" si="32"/>
        <v>2530772.27</v>
      </c>
      <c r="M101" s="366">
        <f t="shared" si="32"/>
        <v>2151149</v>
      </c>
      <c r="N101" s="366">
        <f t="shared" si="32"/>
        <v>0</v>
      </c>
      <c r="O101" s="366">
        <f t="shared" si="32"/>
        <v>0</v>
      </c>
      <c r="P101" s="366">
        <f t="shared" si="32"/>
        <v>0</v>
      </c>
      <c r="Q101" s="366">
        <f t="shared" si="32"/>
        <v>0</v>
      </c>
      <c r="R101" s="364">
        <f t="shared" si="25"/>
        <v>6977189.8459962923</v>
      </c>
      <c r="S101" s="364">
        <f t="shared" si="26"/>
        <v>2779508.5959962928</v>
      </c>
    </row>
    <row r="102" spans="1:19" ht="48" x14ac:dyDescent="0.25">
      <c r="A102" s="447"/>
      <c r="B102" s="468" t="s">
        <v>1739</v>
      </c>
      <c r="C102" s="467" t="s">
        <v>1766</v>
      </c>
      <c r="D102" s="366"/>
      <c r="E102" s="366"/>
      <c r="F102" s="366"/>
      <c r="G102" s="367"/>
      <c r="H102" s="367">
        <f>'2 lentele'!K276+'2 lentele'!K277</f>
        <v>594909</v>
      </c>
      <c r="I102" s="367">
        <f>'2 lentele'!P276+'2 lentele'!P277</f>
        <v>0</v>
      </c>
      <c r="J102" s="367">
        <f>'2 lentele'!K271+'2 lentele'!K272+'2 lentele'!K273+'2 lentele'!K274</f>
        <v>3626899.7359962929</v>
      </c>
      <c r="K102" s="367">
        <f>'2 lentele'!P271+'2 lentele'!P272+'2 lentele'!P273+'2 lentele'!P274</f>
        <v>437442.07599629293</v>
      </c>
      <c r="L102" s="367">
        <f>'2 lentele'!K275+'2 lentele'!K278+'2 lentele'!K279</f>
        <v>2354904</v>
      </c>
      <c r="M102" s="367">
        <f>'2 lentele'!P275+'2 lentele'!P278+'2 lentele'!P279</f>
        <v>2001661</v>
      </c>
      <c r="N102" s="367"/>
      <c r="O102" s="367"/>
      <c r="P102" s="367"/>
      <c r="Q102" s="367"/>
      <c r="R102" s="364">
        <f t="shared" si="25"/>
        <v>6576712.7359962929</v>
      </c>
      <c r="S102" s="364">
        <f t="shared" si="26"/>
        <v>2439103.0759962928</v>
      </c>
    </row>
    <row r="103" spans="1:19" x14ac:dyDescent="0.25">
      <c r="A103" s="447"/>
      <c r="B103" s="468" t="s">
        <v>1740</v>
      </c>
      <c r="C103" s="467" t="s">
        <v>1767</v>
      </c>
      <c r="D103" s="366"/>
      <c r="E103" s="366"/>
      <c r="F103" s="366"/>
      <c r="G103" s="367"/>
      <c r="H103" s="367"/>
      <c r="I103" s="367"/>
      <c r="J103" s="367"/>
      <c r="K103" s="367"/>
      <c r="L103" s="367"/>
      <c r="M103" s="367"/>
      <c r="N103" s="367"/>
      <c r="O103" s="367"/>
      <c r="P103" s="367"/>
      <c r="Q103" s="367"/>
      <c r="R103" s="364">
        <f t="shared" si="25"/>
        <v>0</v>
      </c>
      <c r="S103" s="364">
        <f t="shared" si="26"/>
        <v>0</v>
      </c>
    </row>
    <row r="104" spans="1:19" ht="24" x14ac:dyDescent="0.25">
      <c r="A104" s="447"/>
      <c r="B104" s="468" t="s">
        <v>1741</v>
      </c>
      <c r="C104" s="467" t="s">
        <v>1768</v>
      </c>
      <c r="D104" s="366"/>
      <c r="E104" s="366"/>
      <c r="F104" s="366"/>
      <c r="G104" s="367"/>
      <c r="H104" s="367"/>
      <c r="I104" s="367"/>
      <c r="J104" s="367">
        <f>'2 lentele'!K282</f>
        <v>224608.84</v>
      </c>
      <c r="K104" s="367">
        <f>'2 lentele'!P282</f>
        <v>190917.52</v>
      </c>
      <c r="L104" s="367">
        <f>'2 lentele'!K283+'2 lentele'!K284+'2 lentele'!K285+'2 lentele'!K286+'2 lentele'!K287+'2 lentele'!K288+'2 lentele'!K289</f>
        <v>175868.27000000002</v>
      </c>
      <c r="M104" s="367">
        <f>'2 lentele'!P283+'2 lentele'!P284+'2 lentele'!P285+'2 lentele'!P286+'2 lentele'!P287+'2 lentele'!P288+'2 lentele'!P289</f>
        <v>149488</v>
      </c>
      <c r="N104" s="367"/>
      <c r="O104" s="367"/>
      <c r="P104" s="367"/>
      <c r="Q104" s="367"/>
      <c r="R104" s="364">
        <f t="shared" si="25"/>
        <v>400477.11</v>
      </c>
      <c r="S104" s="364">
        <f t="shared" si="26"/>
        <v>340405.52</v>
      </c>
    </row>
    <row r="105" spans="1:19" ht="36" x14ac:dyDescent="0.25">
      <c r="A105" s="447"/>
      <c r="B105" s="465" t="s">
        <v>1646</v>
      </c>
      <c r="C105" s="466" t="s">
        <v>1647</v>
      </c>
      <c r="D105" s="366">
        <f t="shared" ref="D105:Q105" si="33">D106+D113</f>
        <v>0</v>
      </c>
      <c r="E105" s="366">
        <f t="shared" si="33"/>
        <v>0</v>
      </c>
      <c r="F105" s="366">
        <f t="shared" si="33"/>
        <v>0</v>
      </c>
      <c r="G105" s="366">
        <f t="shared" si="33"/>
        <v>0</v>
      </c>
      <c r="H105" s="366">
        <f t="shared" si="33"/>
        <v>5522108.2400000002</v>
      </c>
      <c r="I105" s="366">
        <f t="shared" si="33"/>
        <v>1312211.5</v>
      </c>
      <c r="J105" s="366">
        <f t="shared" si="33"/>
        <v>35120987.359999999</v>
      </c>
      <c r="K105" s="366">
        <f t="shared" si="33"/>
        <v>29334781.02</v>
      </c>
      <c r="L105" s="366">
        <f t="shared" si="33"/>
        <v>5905318.1699999999</v>
      </c>
      <c r="M105" s="366">
        <f t="shared" si="33"/>
        <v>4982591.6199999992</v>
      </c>
      <c r="N105" s="366">
        <f t="shared" si="33"/>
        <v>0</v>
      </c>
      <c r="O105" s="366">
        <f t="shared" si="33"/>
        <v>0</v>
      </c>
      <c r="P105" s="366">
        <f t="shared" si="33"/>
        <v>0</v>
      </c>
      <c r="Q105" s="366">
        <f t="shared" si="33"/>
        <v>0</v>
      </c>
      <c r="R105" s="364">
        <f t="shared" si="25"/>
        <v>46548413.770000003</v>
      </c>
      <c r="S105" s="364">
        <f t="shared" si="26"/>
        <v>35629584.140000001</v>
      </c>
    </row>
    <row r="106" spans="1:19" ht="24" x14ac:dyDescent="0.25">
      <c r="A106" s="447"/>
      <c r="B106" s="465" t="s">
        <v>1648</v>
      </c>
      <c r="C106" s="466" t="s">
        <v>1649</v>
      </c>
      <c r="D106" s="366">
        <f t="shared" ref="D106:Q106" si="34">D107+D108+D109+D110+D111+D112</f>
        <v>0</v>
      </c>
      <c r="E106" s="366">
        <f t="shared" si="34"/>
        <v>0</v>
      </c>
      <c r="F106" s="366">
        <f t="shared" si="34"/>
        <v>0</v>
      </c>
      <c r="G106" s="366">
        <f t="shared" si="34"/>
        <v>0</v>
      </c>
      <c r="H106" s="366">
        <f t="shared" si="34"/>
        <v>5522108.2400000002</v>
      </c>
      <c r="I106" s="366">
        <f t="shared" si="34"/>
        <v>1312211.5</v>
      </c>
      <c r="J106" s="366">
        <f t="shared" si="34"/>
        <v>35120987.359999999</v>
      </c>
      <c r="K106" s="366">
        <f t="shared" si="34"/>
        <v>29334781.02</v>
      </c>
      <c r="L106" s="366">
        <f t="shared" si="34"/>
        <v>4405318.17</v>
      </c>
      <c r="M106" s="366">
        <f t="shared" si="34"/>
        <v>3707591.6199999996</v>
      </c>
      <c r="N106" s="366">
        <f t="shared" si="34"/>
        <v>0</v>
      </c>
      <c r="O106" s="366">
        <f t="shared" si="34"/>
        <v>0</v>
      </c>
      <c r="P106" s="366">
        <f t="shared" si="34"/>
        <v>0</v>
      </c>
      <c r="Q106" s="366">
        <f t="shared" si="34"/>
        <v>0</v>
      </c>
      <c r="R106" s="364">
        <f t="shared" ref="R106:R137" si="35">D106+F106+H106+J106+L106+N106+P106</f>
        <v>45048413.770000003</v>
      </c>
      <c r="S106" s="364">
        <f t="shared" ref="S106:S137" si="36">E106+G106+I106+K106+M106+O106+Q106</f>
        <v>34354584.140000001</v>
      </c>
    </row>
    <row r="107" spans="1:19" ht="24" x14ac:dyDescent="0.25">
      <c r="A107" s="447"/>
      <c r="B107" s="468" t="s">
        <v>1742</v>
      </c>
      <c r="C107" s="467" t="s">
        <v>1770</v>
      </c>
      <c r="D107" s="366"/>
      <c r="E107" s="366"/>
      <c r="F107" s="366"/>
      <c r="G107" s="367"/>
      <c r="H107" s="367">
        <f>'2 lentele'!K293+'2 lentele'!K294+'2 lentele'!K297</f>
        <v>5522108.2400000002</v>
      </c>
      <c r="I107" s="367">
        <f>'2 lentele'!P293+'2 lentele'!P294+'2 lentele'!P297</f>
        <v>1312211.5</v>
      </c>
      <c r="J107" s="367">
        <f>'2 lentele'!K295+'2 lentele'!K296+'2 lentele'!K298</f>
        <v>14903069</v>
      </c>
      <c r="K107" s="367">
        <f>'2 lentele'!P295+'2 lentele'!P296+'2 lentele'!P298</f>
        <v>12667564</v>
      </c>
      <c r="L107" s="367"/>
      <c r="M107" s="367"/>
      <c r="N107" s="367"/>
      <c r="O107" s="367"/>
      <c r="P107" s="367"/>
      <c r="Q107" s="367"/>
      <c r="R107" s="364">
        <f t="shared" si="35"/>
        <v>20425177.240000002</v>
      </c>
      <c r="S107" s="364">
        <f t="shared" si="36"/>
        <v>13979775.5</v>
      </c>
    </row>
    <row r="108" spans="1:19" ht="24" x14ac:dyDescent="0.25">
      <c r="A108" s="447"/>
      <c r="B108" s="468" t="s">
        <v>1743</v>
      </c>
      <c r="C108" s="467" t="s">
        <v>1771</v>
      </c>
      <c r="D108" s="366"/>
      <c r="E108" s="366"/>
      <c r="F108" s="366"/>
      <c r="G108" s="367"/>
      <c r="H108" s="367"/>
      <c r="I108" s="367"/>
      <c r="J108" s="367"/>
      <c r="K108" s="367"/>
      <c r="L108" s="367"/>
      <c r="M108" s="367"/>
      <c r="N108" s="367"/>
      <c r="O108" s="367"/>
      <c r="P108" s="367"/>
      <c r="Q108" s="367"/>
      <c r="R108" s="364">
        <f t="shared" si="35"/>
        <v>0</v>
      </c>
      <c r="S108" s="364">
        <f t="shared" si="36"/>
        <v>0</v>
      </c>
    </row>
    <row r="109" spans="1:19" ht="36" x14ac:dyDescent="0.25">
      <c r="A109" s="447"/>
      <c r="B109" s="468" t="s">
        <v>1744</v>
      </c>
      <c r="C109" s="467" t="s">
        <v>1772</v>
      </c>
      <c r="D109" s="366"/>
      <c r="E109" s="366"/>
      <c r="F109" s="366"/>
      <c r="G109" s="367"/>
      <c r="H109" s="367"/>
      <c r="I109" s="367"/>
      <c r="J109" s="367"/>
      <c r="K109" s="367"/>
      <c r="L109" s="367"/>
      <c r="M109" s="367"/>
      <c r="N109" s="367"/>
      <c r="O109" s="367"/>
      <c r="P109" s="367"/>
      <c r="Q109" s="367"/>
      <c r="R109" s="364">
        <f t="shared" si="35"/>
        <v>0</v>
      </c>
      <c r="S109" s="364">
        <f t="shared" si="36"/>
        <v>0</v>
      </c>
    </row>
    <row r="110" spans="1:19" ht="24" x14ac:dyDescent="0.25">
      <c r="A110" s="447"/>
      <c r="B110" s="468" t="s">
        <v>1745</v>
      </c>
      <c r="C110" s="467" t="s">
        <v>1773</v>
      </c>
      <c r="D110" s="366"/>
      <c r="E110" s="366"/>
      <c r="F110" s="366"/>
      <c r="G110" s="367"/>
      <c r="H110" s="367"/>
      <c r="I110" s="367"/>
      <c r="J110" s="367">
        <f>'2 lentele'!K302+'2 lentele'!K303</f>
        <v>7207533.4199999999</v>
      </c>
      <c r="K110" s="367">
        <f>'2 lentele'!P302+'2 lentele'!P303</f>
        <v>6172966.9699999997</v>
      </c>
      <c r="L110" s="367"/>
      <c r="M110" s="367"/>
      <c r="N110" s="367"/>
      <c r="O110" s="367"/>
      <c r="P110" s="367"/>
      <c r="Q110" s="367"/>
      <c r="R110" s="364">
        <f t="shared" si="35"/>
        <v>7207533.4199999999</v>
      </c>
      <c r="S110" s="364">
        <f t="shared" si="36"/>
        <v>6172966.9699999997</v>
      </c>
    </row>
    <row r="111" spans="1:19" ht="24" x14ac:dyDescent="0.25">
      <c r="A111" s="447"/>
      <c r="B111" s="468" t="s">
        <v>1746</v>
      </c>
      <c r="C111" s="467" t="s">
        <v>1774</v>
      </c>
      <c r="D111" s="366"/>
      <c r="E111" s="366"/>
      <c r="F111" s="366"/>
      <c r="G111" s="367"/>
      <c r="H111" s="367"/>
      <c r="I111" s="367"/>
      <c r="J111" s="367">
        <f>'2 lentele'!K307+'2 lentele'!K308+'2 lentele'!K309</f>
        <v>13010384.939999999</v>
      </c>
      <c r="K111" s="367">
        <f>'2 lentele'!P307+'2 lentele'!P308+'2 lentele'!P309</f>
        <v>10494250.050000001</v>
      </c>
      <c r="L111" s="367">
        <f>'2 lentele'!K305+'2 lentele'!K306+'2 lentele'!K310+'2 lentele'!K311+'2 lentele'!K313</f>
        <v>4405318.17</v>
      </c>
      <c r="M111" s="367">
        <f>'2 lentele'!P305+'2 lentele'!P306+'2 lentele'!P310+'2 lentele'!P311+'2 lentele'!P313</f>
        <v>3707591.6199999996</v>
      </c>
      <c r="N111" s="367"/>
      <c r="O111" s="367"/>
      <c r="P111" s="367"/>
      <c r="Q111" s="367"/>
      <c r="R111" s="364">
        <f t="shared" si="35"/>
        <v>17415703.109999999</v>
      </c>
      <c r="S111" s="364">
        <f t="shared" si="36"/>
        <v>14201841.67</v>
      </c>
    </row>
    <row r="112" spans="1:19" ht="24" x14ac:dyDescent="0.25">
      <c r="A112" s="447"/>
      <c r="B112" s="468" t="s">
        <v>1239</v>
      </c>
      <c r="C112" s="467" t="s">
        <v>1775</v>
      </c>
      <c r="D112" s="366"/>
      <c r="E112" s="366"/>
      <c r="F112" s="366"/>
      <c r="G112" s="367"/>
      <c r="H112" s="367"/>
      <c r="I112" s="367"/>
      <c r="J112" s="367"/>
      <c r="K112" s="367"/>
      <c r="L112" s="367"/>
      <c r="M112" s="367"/>
      <c r="N112" s="367"/>
      <c r="O112" s="367"/>
      <c r="P112" s="367"/>
      <c r="Q112" s="367"/>
      <c r="R112" s="364">
        <f t="shared" si="35"/>
        <v>0</v>
      </c>
      <c r="S112" s="364">
        <f t="shared" si="36"/>
        <v>0</v>
      </c>
    </row>
    <row r="113" spans="1:19" ht="24" x14ac:dyDescent="0.25">
      <c r="A113" s="447"/>
      <c r="B113" s="468" t="s">
        <v>1650</v>
      </c>
      <c r="C113" s="467" t="s">
        <v>389</v>
      </c>
      <c r="D113" s="366">
        <f t="shared" ref="D113:Q113" si="37">D114+D115+D116+D117</f>
        <v>0</v>
      </c>
      <c r="E113" s="366">
        <f t="shared" si="37"/>
        <v>0</v>
      </c>
      <c r="F113" s="366">
        <f t="shared" si="37"/>
        <v>0</v>
      </c>
      <c r="G113" s="366">
        <f t="shared" si="37"/>
        <v>0</v>
      </c>
      <c r="H113" s="366">
        <f t="shared" si="37"/>
        <v>0</v>
      </c>
      <c r="I113" s="366">
        <f t="shared" si="37"/>
        <v>0</v>
      </c>
      <c r="J113" s="366">
        <f t="shared" si="37"/>
        <v>0</v>
      </c>
      <c r="K113" s="366">
        <f t="shared" si="37"/>
        <v>0</v>
      </c>
      <c r="L113" s="366">
        <f t="shared" si="37"/>
        <v>1500000</v>
      </c>
      <c r="M113" s="366">
        <f t="shared" si="37"/>
        <v>1275000</v>
      </c>
      <c r="N113" s="366">
        <f t="shared" si="37"/>
        <v>0</v>
      </c>
      <c r="O113" s="366">
        <f t="shared" si="37"/>
        <v>0</v>
      </c>
      <c r="P113" s="366">
        <f t="shared" si="37"/>
        <v>0</v>
      </c>
      <c r="Q113" s="366">
        <f t="shared" si="37"/>
        <v>0</v>
      </c>
      <c r="R113" s="364">
        <f t="shared" si="35"/>
        <v>1500000</v>
      </c>
      <c r="S113" s="364">
        <f t="shared" si="36"/>
        <v>1275000</v>
      </c>
    </row>
    <row r="114" spans="1:19" x14ac:dyDescent="0.25">
      <c r="A114" s="447"/>
      <c r="B114" s="468" t="s">
        <v>1776</v>
      </c>
      <c r="C114" s="467" t="s">
        <v>1780</v>
      </c>
      <c r="D114" s="366"/>
      <c r="E114" s="366"/>
      <c r="F114" s="366"/>
      <c r="G114" s="367"/>
      <c r="H114" s="367"/>
      <c r="I114" s="367"/>
      <c r="J114" s="367"/>
      <c r="K114" s="367"/>
      <c r="L114" s="367">
        <f>'2 lentele'!K317</f>
        <v>1500000</v>
      </c>
      <c r="M114" s="367">
        <f>'2 lentele'!P317</f>
        <v>1275000</v>
      </c>
      <c r="N114" s="367"/>
      <c r="O114" s="367"/>
      <c r="P114" s="367"/>
      <c r="Q114" s="367"/>
      <c r="R114" s="364">
        <f t="shared" si="35"/>
        <v>1500000</v>
      </c>
      <c r="S114" s="364">
        <f t="shared" si="36"/>
        <v>1275000</v>
      </c>
    </row>
    <row r="115" spans="1:19" ht="36" x14ac:dyDescent="0.25">
      <c r="A115" s="447"/>
      <c r="B115" s="468" t="s">
        <v>1777</v>
      </c>
      <c r="C115" s="467" t="s">
        <v>1781</v>
      </c>
      <c r="D115" s="366"/>
      <c r="E115" s="366"/>
      <c r="F115" s="366"/>
      <c r="G115" s="367"/>
      <c r="H115" s="367"/>
      <c r="I115" s="367"/>
      <c r="J115" s="367"/>
      <c r="K115" s="367"/>
      <c r="L115" s="367"/>
      <c r="M115" s="367"/>
      <c r="N115" s="367"/>
      <c r="O115" s="367"/>
      <c r="P115" s="367"/>
      <c r="Q115" s="367"/>
      <c r="R115" s="364">
        <f t="shared" si="35"/>
        <v>0</v>
      </c>
      <c r="S115" s="364">
        <f t="shared" si="36"/>
        <v>0</v>
      </c>
    </row>
    <row r="116" spans="1:19" ht="24" x14ac:dyDescent="0.25">
      <c r="A116" s="447"/>
      <c r="B116" s="468" t="s">
        <v>1778</v>
      </c>
      <c r="C116" s="467" t="s">
        <v>1782</v>
      </c>
      <c r="D116" s="366"/>
      <c r="E116" s="366"/>
      <c r="F116" s="366"/>
      <c r="G116" s="367"/>
      <c r="H116" s="367"/>
      <c r="I116" s="367"/>
      <c r="J116" s="367"/>
      <c r="K116" s="367"/>
      <c r="L116" s="367"/>
      <c r="M116" s="367"/>
      <c r="N116" s="367"/>
      <c r="O116" s="367"/>
      <c r="P116" s="367"/>
      <c r="Q116" s="367"/>
      <c r="R116" s="364">
        <f t="shared" si="35"/>
        <v>0</v>
      </c>
      <c r="S116" s="364">
        <f t="shared" si="36"/>
        <v>0</v>
      </c>
    </row>
    <row r="117" spans="1:19" ht="24" x14ac:dyDescent="0.25">
      <c r="A117" s="447"/>
      <c r="B117" s="468" t="s">
        <v>1779</v>
      </c>
      <c r="C117" s="467" t="s">
        <v>1783</v>
      </c>
      <c r="D117" s="366"/>
      <c r="E117" s="366"/>
      <c r="F117" s="366"/>
      <c r="G117" s="367"/>
      <c r="H117" s="367"/>
      <c r="I117" s="367"/>
      <c r="J117" s="367"/>
      <c r="K117" s="367"/>
      <c r="L117" s="367"/>
      <c r="M117" s="367"/>
      <c r="N117" s="367"/>
      <c r="O117" s="367"/>
      <c r="P117" s="367"/>
      <c r="Q117" s="367"/>
      <c r="R117" s="364">
        <f t="shared" si="35"/>
        <v>0</v>
      </c>
      <c r="S117" s="364">
        <f t="shared" si="36"/>
        <v>0</v>
      </c>
    </row>
    <row r="118" spans="1:19" ht="24" x14ac:dyDescent="0.25">
      <c r="A118" s="447"/>
      <c r="B118" s="468" t="s">
        <v>1651</v>
      </c>
      <c r="C118" s="466" t="s">
        <v>1654</v>
      </c>
      <c r="D118" s="366">
        <f t="shared" ref="D118:Q118" si="38">D119+D124</f>
        <v>0</v>
      </c>
      <c r="E118" s="366">
        <f t="shared" si="38"/>
        <v>0</v>
      </c>
      <c r="F118" s="366">
        <f t="shared" si="38"/>
        <v>0</v>
      </c>
      <c r="G118" s="366">
        <f t="shared" si="38"/>
        <v>0</v>
      </c>
      <c r="H118" s="366">
        <f t="shared" si="38"/>
        <v>0</v>
      </c>
      <c r="I118" s="366">
        <f t="shared" si="38"/>
        <v>0</v>
      </c>
      <c r="J118" s="366">
        <f t="shared" si="38"/>
        <v>6554048.6600000001</v>
      </c>
      <c r="K118" s="366">
        <f t="shared" si="38"/>
        <v>5238883.3800000008</v>
      </c>
      <c r="L118" s="366">
        <f t="shared" si="38"/>
        <v>1780356.3199999998</v>
      </c>
      <c r="M118" s="366">
        <f t="shared" si="38"/>
        <v>1513302.88</v>
      </c>
      <c r="N118" s="366">
        <f t="shared" si="38"/>
        <v>0</v>
      </c>
      <c r="O118" s="366">
        <f t="shared" si="38"/>
        <v>0</v>
      </c>
      <c r="P118" s="366">
        <f t="shared" si="38"/>
        <v>0</v>
      </c>
      <c r="Q118" s="366">
        <f t="shared" si="38"/>
        <v>0</v>
      </c>
      <c r="R118" s="364">
        <f t="shared" si="35"/>
        <v>8334404.9800000004</v>
      </c>
      <c r="S118" s="364">
        <f t="shared" si="36"/>
        <v>6752186.2600000007</v>
      </c>
    </row>
    <row r="119" spans="1:19" ht="24" x14ac:dyDescent="0.25">
      <c r="A119" s="447"/>
      <c r="B119" s="468" t="s">
        <v>1655</v>
      </c>
      <c r="C119" s="467" t="s">
        <v>1784</v>
      </c>
      <c r="D119" s="366">
        <f t="shared" ref="D119:Q119" si="39">D120+D121+D122+D123</f>
        <v>0</v>
      </c>
      <c r="E119" s="366">
        <f t="shared" si="39"/>
        <v>0</v>
      </c>
      <c r="F119" s="366">
        <f t="shared" si="39"/>
        <v>0</v>
      </c>
      <c r="G119" s="366">
        <f t="shared" si="39"/>
        <v>0</v>
      </c>
      <c r="H119" s="366">
        <f t="shared" si="39"/>
        <v>0</v>
      </c>
      <c r="I119" s="366">
        <f t="shared" si="39"/>
        <v>0</v>
      </c>
      <c r="J119" s="366">
        <f t="shared" si="39"/>
        <v>6554048.6600000001</v>
      </c>
      <c r="K119" s="366">
        <f t="shared" si="39"/>
        <v>5238883.3800000008</v>
      </c>
      <c r="L119" s="366">
        <f t="shared" si="39"/>
        <v>1780356.3199999998</v>
      </c>
      <c r="M119" s="366">
        <f t="shared" si="39"/>
        <v>1513302.88</v>
      </c>
      <c r="N119" s="366">
        <f t="shared" si="39"/>
        <v>0</v>
      </c>
      <c r="O119" s="366">
        <f t="shared" si="39"/>
        <v>0</v>
      </c>
      <c r="P119" s="366">
        <f t="shared" si="39"/>
        <v>0</v>
      </c>
      <c r="Q119" s="366">
        <f t="shared" si="39"/>
        <v>0</v>
      </c>
      <c r="R119" s="364">
        <f t="shared" si="35"/>
        <v>8334404.9800000004</v>
      </c>
      <c r="S119" s="364">
        <f t="shared" si="36"/>
        <v>6752186.2600000007</v>
      </c>
    </row>
    <row r="120" spans="1:19" ht="24" x14ac:dyDescent="0.25">
      <c r="A120" s="447"/>
      <c r="B120" s="468" t="s">
        <v>1786</v>
      </c>
      <c r="C120" s="467" t="s">
        <v>1793</v>
      </c>
      <c r="D120" s="366"/>
      <c r="E120" s="366"/>
      <c r="F120" s="366"/>
      <c r="G120" s="367"/>
      <c r="H120" s="367"/>
      <c r="I120" s="367"/>
      <c r="J120" s="367"/>
      <c r="K120" s="367"/>
      <c r="L120" s="367"/>
      <c r="M120" s="367"/>
      <c r="N120" s="367"/>
      <c r="O120" s="367"/>
      <c r="P120" s="367"/>
      <c r="Q120" s="367"/>
      <c r="R120" s="364">
        <f t="shared" si="35"/>
        <v>0</v>
      </c>
      <c r="S120" s="364">
        <f t="shared" si="36"/>
        <v>0</v>
      </c>
    </row>
    <row r="121" spans="1:19" x14ac:dyDescent="0.25">
      <c r="A121" s="447"/>
      <c r="B121" s="468" t="s">
        <v>454</v>
      </c>
      <c r="C121" s="467" t="s">
        <v>1794</v>
      </c>
      <c r="D121" s="366"/>
      <c r="E121" s="366"/>
      <c r="F121" s="366"/>
      <c r="G121" s="367"/>
      <c r="H121" s="367"/>
      <c r="I121" s="367"/>
      <c r="J121" s="367">
        <f>'2 lentele'!K325+'2 lentele'!K326+'2 lentele'!K327+'2 lentele'!K329+'2 lentele'!K335+'2 lentele'!K336+'2 lentele'!K338+'2 lentele'!K339+'2 lentele'!K340+'2 lentele'!K341+'2 lentele'!K342+'2 lentele'!K343+'2 lentele'!K344+'2 lentele'!K346+'2 lentele'!K347+'2 lentele'!K348+'2 lentele'!K349+'2 lentele'!K352+'2 lentele'!K354+'2 lentele'!K355+'2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f>
        <v>6554048.6600000001</v>
      </c>
      <c r="K121" s="367">
        <f>'2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lentele'!P359+'2 lentele'!P358+'2 lentele'!P357+'2 lentele'!P356+'2 lentele'!P355+'2 lentele'!P354+'2 lentele'!P352+'2 lentele'!P349+'2 lentele'!P348+'2 lentele'!P347+'2 lentele'!P346+'2 lentele'!P344+'2 lentele'!P343+'2 lentele'!P342+'2 lentele'!P341+'2 lentele'!P340+'2 lentele'!P339+'2 lentele'!P338+'2 lentele'!P336+'2 lentele'!P335+'2 lentele'!P329+'2 lentele'!P327+'2 lentele'!P326+'2 lentele'!P325</f>
        <v>5238883.3800000008</v>
      </c>
      <c r="L121" s="367">
        <f>'2 lentele'!K334+'2 lentele'!K351</f>
        <v>1780356.3199999998</v>
      </c>
      <c r="M121" s="367">
        <f>'2 lentele'!P351+'2 lentele'!P334</f>
        <v>1513302.88</v>
      </c>
      <c r="N121" s="367"/>
      <c r="O121" s="367"/>
      <c r="P121" s="367"/>
      <c r="Q121" s="367"/>
      <c r="R121" s="364">
        <f t="shared" si="35"/>
        <v>8334404.9800000004</v>
      </c>
      <c r="S121" s="364">
        <f t="shared" si="36"/>
        <v>6752186.2600000007</v>
      </c>
    </row>
    <row r="122" spans="1:19" ht="24" x14ac:dyDescent="0.25">
      <c r="A122" s="447"/>
      <c r="B122" s="468" t="s">
        <v>359</v>
      </c>
      <c r="C122" s="467" t="s">
        <v>1795</v>
      </c>
      <c r="D122" s="366"/>
      <c r="E122" s="366"/>
      <c r="F122" s="366"/>
      <c r="G122" s="367"/>
      <c r="H122" s="367"/>
      <c r="I122" s="367"/>
      <c r="J122" s="367"/>
      <c r="K122" s="367"/>
      <c r="L122" s="367"/>
      <c r="M122" s="367"/>
      <c r="N122" s="367"/>
      <c r="O122" s="367"/>
      <c r="P122" s="367"/>
      <c r="Q122" s="367"/>
      <c r="R122" s="364">
        <f t="shared" si="35"/>
        <v>0</v>
      </c>
      <c r="S122" s="364">
        <f t="shared" si="36"/>
        <v>0</v>
      </c>
    </row>
    <row r="123" spans="1:19" x14ac:dyDescent="0.25">
      <c r="A123" s="447"/>
      <c r="B123" s="468" t="s">
        <v>358</v>
      </c>
      <c r="C123" s="467" t="s">
        <v>1796</v>
      </c>
      <c r="D123" s="366"/>
      <c r="E123" s="366"/>
      <c r="F123" s="366"/>
      <c r="G123" s="367"/>
      <c r="H123" s="367"/>
      <c r="I123" s="367"/>
      <c r="J123" s="367"/>
      <c r="K123" s="367"/>
      <c r="L123" s="367"/>
      <c r="M123" s="367"/>
      <c r="N123" s="367"/>
      <c r="O123" s="367"/>
      <c r="P123" s="367"/>
      <c r="Q123" s="367"/>
      <c r="R123" s="364">
        <f t="shared" si="35"/>
        <v>0</v>
      </c>
      <c r="S123" s="364">
        <f t="shared" si="36"/>
        <v>0</v>
      </c>
    </row>
    <row r="124" spans="1:19" ht="48" x14ac:dyDescent="0.25">
      <c r="A124" s="447"/>
      <c r="B124" s="468" t="s">
        <v>1656</v>
      </c>
      <c r="C124" s="467" t="s">
        <v>1785</v>
      </c>
      <c r="D124" s="366">
        <f t="shared" ref="D124:Q124" si="40">D125+D126+D127</f>
        <v>0</v>
      </c>
      <c r="E124" s="366">
        <f t="shared" si="40"/>
        <v>0</v>
      </c>
      <c r="F124" s="366">
        <f t="shared" si="40"/>
        <v>0</v>
      </c>
      <c r="G124" s="366">
        <f t="shared" si="40"/>
        <v>0</v>
      </c>
      <c r="H124" s="366">
        <f t="shared" si="40"/>
        <v>0</v>
      </c>
      <c r="I124" s="366">
        <f t="shared" si="40"/>
        <v>0</v>
      </c>
      <c r="J124" s="366">
        <f t="shared" si="40"/>
        <v>0</v>
      </c>
      <c r="K124" s="366">
        <f t="shared" si="40"/>
        <v>0</v>
      </c>
      <c r="L124" s="366">
        <f t="shared" si="40"/>
        <v>0</v>
      </c>
      <c r="M124" s="366">
        <f t="shared" si="40"/>
        <v>0</v>
      </c>
      <c r="N124" s="366">
        <f t="shared" si="40"/>
        <v>0</v>
      </c>
      <c r="O124" s="366">
        <f t="shared" si="40"/>
        <v>0</v>
      </c>
      <c r="P124" s="366">
        <f t="shared" si="40"/>
        <v>0</v>
      </c>
      <c r="Q124" s="366">
        <f t="shared" si="40"/>
        <v>0</v>
      </c>
      <c r="R124" s="364">
        <f t="shared" si="35"/>
        <v>0</v>
      </c>
      <c r="S124" s="364">
        <f t="shared" si="36"/>
        <v>0</v>
      </c>
    </row>
    <row r="125" spans="1:19" ht="36" x14ac:dyDescent="0.25">
      <c r="A125" s="447"/>
      <c r="B125" s="468" t="s">
        <v>1790</v>
      </c>
      <c r="C125" s="467" t="s">
        <v>1797</v>
      </c>
      <c r="D125" s="366"/>
      <c r="E125" s="366"/>
      <c r="F125" s="366"/>
      <c r="G125" s="367"/>
      <c r="H125" s="367"/>
      <c r="I125" s="367"/>
      <c r="J125" s="367"/>
      <c r="K125" s="367"/>
      <c r="L125" s="367"/>
      <c r="M125" s="367"/>
      <c r="N125" s="367"/>
      <c r="O125" s="367"/>
      <c r="P125" s="367"/>
      <c r="Q125" s="367"/>
      <c r="R125" s="364">
        <f t="shared" si="35"/>
        <v>0</v>
      </c>
      <c r="S125" s="364">
        <f t="shared" si="36"/>
        <v>0</v>
      </c>
    </row>
    <row r="126" spans="1:19" ht="24" x14ac:dyDescent="0.25">
      <c r="A126" s="447"/>
      <c r="B126" s="468" t="s">
        <v>1791</v>
      </c>
      <c r="C126" s="467" t="s">
        <v>1798</v>
      </c>
      <c r="D126" s="366"/>
      <c r="E126" s="366"/>
      <c r="F126" s="366"/>
      <c r="G126" s="367"/>
      <c r="H126" s="367"/>
      <c r="I126" s="367"/>
      <c r="J126" s="367"/>
      <c r="K126" s="367"/>
      <c r="L126" s="367"/>
      <c r="M126" s="367"/>
      <c r="N126" s="367"/>
      <c r="O126" s="367"/>
      <c r="P126" s="367"/>
      <c r="Q126" s="367"/>
      <c r="R126" s="364">
        <f t="shared" si="35"/>
        <v>0</v>
      </c>
      <c r="S126" s="364">
        <f t="shared" si="36"/>
        <v>0</v>
      </c>
    </row>
    <row r="127" spans="1:19" ht="36" x14ac:dyDescent="0.25">
      <c r="A127" s="447"/>
      <c r="B127" s="468" t="s">
        <v>1792</v>
      </c>
      <c r="C127" s="467" t="s">
        <v>1799</v>
      </c>
      <c r="D127" s="366"/>
      <c r="E127" s="366"/>
      <c r="F127" s="366"/>
      <c r="G127" s="367"/>
      <c r="H127" s="367"/>
      <c r="I127" s="367"/>
      <c r="J127" s="367"/>
      <c r="K127" s="367"/>
      <c r="L127" s="367"/>
      <c r="M127" s="367"/>
      <c r="N127" s="367"/>
      <c r="O127" s="367"/>
      <c r="P127" s="367"/>
      <c r="Q127" s="367"/>
      <c r="R127" s="364">
        <f t="shared" si="35"/>
        <v>0</v>
      </c>
      <c r="S127" s="364">
        <f t="shared" si="36"/>
        <v>0</v>
      </c>
    </row>
    <row r="128" spans="1:19" ht="24" x14ac:dyDescent="0.25">
      <c r="A128" s="447"/>
      <c r="B128" s="465" t="s">
        <v>1657</v>
      </c>
      <c r="C128" s="466" t="s">
        <v>1658</v>
      </c>
      <c r="D128" s="366">
        <f t="shared" ref="D128:Q128" si="41">D129+D153</f>
        <v>0</v>
      </c>
      <c r="E128" s="366">
        <f t="shared" si="41"/>
        <v>0</v>
      </c>
      <c r="F128" s="366">
        <f t="shared" si="41"/>
        <v>0</v>
      </c>
      <c r="G128" s="366">
        <f t="shared" si="41"/>
        <v>0</v>
      </c>
      <c r="H128" s="366">
        <f t="shared" si="41"/>
        <v>19164778.289999999</v>
      </c>
      <c r="I128" s="366">
        <f t="shared" si="41"/>
        <v>15191557.91</v>
      </c>
      <c r="J128" s="366">
        <f t="shared" si="41"/>
        <v>65658803.009999998</v>
      </c>
      <c r="K128" s="366">
        <f t="shared" si="41"/>
        <v>42411858.469999999</v>
      </c>
      <c r="L128" s="366">
        <f t="shared" si="41"/>
        <v>6019057.7600000007</v>
      </c>
      <c r="M128" s="366">
        <f t="shared" si="41"/>
        <v>4007793.5700000003</v>
      </c>
      <c r="N128" s="366">
        <f t="shared" si="41"/>
        <v>88678.399999999994</v>
      </c>
      <c r="O128" s="366">
        <f t="shared" si="41"/>
        <v>75376.639999999999</v>
      </c>
      <c r="P128" s="366">
        <f t="shared" si="41"/>
        <v>0</v>
      </c>
      <c r="Q128" s="366">
        <f t="shared" si="41"/>
        <v>0</v>
      </c>
      <c r="R128" s="364">
        <f t="shared" si="35"/>
        <v>90931317.460000008</v>
      </c>
      <c r="S128" s="364">
        <f t="shared" si="36"/>
        <v>61686586.589999996</v>
      </c>
    </row>
    <row r="129" spans="1:19" ht="24" x14ac:dyDescent="0.25">
      <c r="A129" s="447"/>
      <c r="B129" s="465" t="s">
        <v>1659</v>
      </c>
      <c r="C129" s="466" t="s">
        <v>1660</v>
      </c>
      <c r="D129" s="366">
        <f t="shared" ref="D129:Q129" si="42">D130+D137+D141+D147</f>
        <v>0</v>
      </c>
      <c r="E129" s="366">
        <f t="shared" si="42"/>
        <v>0</v>
      </c>
      <c r="F129" s="366">
        <f t="shared" si="42"/>
        <v>0</v>
      </c>
      <c r="G129" s="366">
        <f t="shared" si="42"/>
        <v>0</v>
      </c>
      <c r="H129" s="366">
        <f t="shared" si="42"/>
        <v>19164778.289999999</v>
      </c>
      <c r="I129" s="366">
        <f t="shared" si="42"/>
        <v>15191557.91</v>
      </c>
      <c r="J129" s="366">
        <f t="shared" si="42"/>
        <v>65298136.469999999</v>
      </c>
      <c r="K129" s="366">
        <f t="shared" si="42"/>
        <v>42113982.719999999</v>
      </c>
      <c r="L129" s="366">
        <f t="shared" si="42"/>
        <v>6019057.7600000007</v>
      </c>
      <c r="M129" s="366">
        <f t="shared" si="42"/>
        <v>4007793.5700000003</v>
      </c>
      <c r="N129" s="366">
        <f t="shared" si="42"/>
        <v>88678.399999999994</v>
      </c>
      <c r="O129" s="366">
        <f t="shared" si="42"/>
        <v>75376.639999999999</v>
      </c>
      <c r="P129" s="366">
        <f t="shared" si="42"/>
        <v>0</v>
      </c>
      <c r="Q129" s="366">
        <f t="shared" si="42"/>
        <v>0</v>
      </c>
      <c r="R129" s="364">
        <f t="shared" si="35"/>
        <v>90570650.920000002</v>
      </c>
      <c r="S129" s="364">
        <f t="shared" si="36"/>
        <v>61388710.839999996</v>
      </c>
    </row>
    <row r="130" spans="1:19" ht="36" x14ac:dyDescent="0.25">
      <c r="A130" s="447"/>
      <c r="B130" s="465" t="s">
        <v>1662</v>
      </c>
      <c r="C130" s="466" t="s">
        <v>1665</v>
      </c>
      <c r="D130" s="366">
        <f t="shared" ref="D130:Q130" si="43">D131+D132+D133+D134+D135+D136</f>
        <v>0</v>
      </c>
      <c r="E130" s="366">
        <f t="shared" si="43"/>
        <v>0</v>
      </c>
      <c r="F130" s="366">
        <f t="shared" si="43"/>
        <v>0</v>
      </c>
      <c r="G130" s="366">
        <f t="shared" si="43"/>
        <v>0</v>
      </c>
      <c r="H130" s="366">
        <f t="shared" si="43"/>
        <v>2062955.63</v>
      </c>
      <c r="I130" s="366">
        <f t="shared" si="43"/>
        <v>1753512.28</v>
      </c>
      <c r="J130" s="366">
        <f t="shared" si="43"/>
        <v>19236904.050000001</v>
      </c>
      <c r="K130" s="366">
        <f t="shared" si="43"/>
        <v>14567837.429999998</v>
      </c>
      <c r="L130" s="366">
        <f t="shared" si="43"/>
        <v>0</v>
      </c>
      <c r="M130" s="366">
        <f t="shared" si="43"/>
        <v>0</v>
      </c>
      <c r="N130" s="366">
        <f t="shared" si="43"/>
        <v>0</v>
      </c>
      <c r="O130" s="366">
        <f t="shared" si="43"/>
        <v>0</v>
      </c>
      <c r="P130" s="366">
        <f t="shared" si="43"/>
        <v>0</v>
      </c>
      <c r="Q130" s="366">
        <f t="shared" si="43"/>
        <v>0</v>
      </c>
      <c r="R130" s="364">
        <f t="shared" si="35"/>
        <v>21299859.68</v>
      </c>
      <c r="S130" s="364">
        <f t="shared" si="36"/>
        <v>16321349.709999997</v>
      </c>
    </row>
    <row r="131" spans="1:19" ht="24" x14ac:dyDescent="0.25">
      <c r="A131" s="447"/>
      <c r="B131" s="468" t="s">
        <v>1801</v>
      </c>
      <c r="C131" s="467" t="s">
        <v>1807</v>
      </c>
      <c r="D131" s="366"/>
      <c r="E131" s="366"/>
      <c r="F131" s="366"/>
      <c r="G131" s="367"/>
      <c r="H131" s="367"/>
      <c r="I131" s="367"/>
      <c r="J131" s="367">
        <f>'2 lentele'!K396+'2 lentele'!K397+'2 lentele'!K398+'2 lentele'!K399+'2 lentele'!K400+'2 lentele'!K401+'2 lentele'!K402</f>
        <v>19236904.050000001</v>
      </c>
      <c r="K131" s="367">
        <f>'2 lentele'!P396+'2 lentele'!P397+'2 lentele'!P398+'2 lentele'!P399+'2 lentele'!P400+'2 lentele'!P401+'2 lentele'!P402</f>
        <v>14567837.429999998</v>
      </c>
      <c r="L131" s="367"/>
      <c r="M131" s="367"/>
      <c r="N131" s="367"/>
      <c r="O131" s="367"/>
      <c r="P131" s="367"/>
      <c r="Q131" s="367"/>
      <c r="R131" s="364">
        <f t="shared" si="35"/>
        <v>19236904.050000001</v>
      </c>
      <c r="S131" s="364">
        <f t="shared" si="36"/>
        <v>14567837.429999998</v>
      </c>
    </row>
    <row r="132" spans="1:19" ht="36" x14ac:dyDescent="0.25">
      <c r="A132" s="447"/>
      <c r="B132" s="468" t="s">
        <v>1802</v>
      </c>
      <c r="C132" s="467" t="s">
        <v>1808</v>
      </c>
      <c r="D132" s="366"/>
      <c r="E132" s="366"/>
      <c r="F132" s="366"/>
      <c r="G132" s="367"/>
      <c r="H132" s="367"/>
      <c r="I132" s="367"/>
      <c r="J132" s="367"/>
      <c r="K132" s="367"/>
      <c r="L132" s="367"/>
      <c r="M132" s="367"/>
      <c r="N132" s="367"/>
      <c r="O132" s="367"/>
      <c r="P132" s="367"/>
      <c r="Q132" s="367"/>
      <c r="R132" s="364">
        <f t="shared" si="35"/>
        <v>0</v>
      </c>
      <c r="S132" s="364">
        <f t="shared" si="36"/>
        <v>0</v>
      </c>
    </row>
    <row r="133" spans="1:19" x14ac:dyDescent="0.25">
      <c r="A133" s="447"/>
      <c r="B133" s="468" t="s">
        <v>1803</v>
      </c>
      <c r="C133" s="467" t="s">
        <v>1809</v>
      </c>
      <c r="D133" s="366"/>
      <c r="E133" s="366"/>
      <c r="F133" s="366"/>
      <c r="G133" s="367"/>
      <c r="H133" s="367">
        <f>'2 lentele'!K405</f>
        <v>2062955.63</v>
      </c>
      <c r="I133" s="367">
        <f>'2 lentele'!P405</f>
        <v>1753512.28</v>
      </c>
      <c r="J133" s="367"/>
      <c r="K133" s="367"/>
      <c r="L133" s="367"/>
      <c r="M133" s="367"/>
      <c r="N133" s="367"/>
      <c r="O133" s="367"/>
      <c r="P133" s="367"/>
      <c r="Q133" s="367"/>
      <c r="R133" s="364">
        <f t="shared" si="35"/>
        <v>2062955.63</v>
      </c>
      <c r="S133" s="364">
        <f t="shared" si="36"/>
        <v>1753512.28</v>
      </c>
    </row>
    <row r="134" spans="1:19" ht="60" x14ac:dyDescent="0.25">
      <c r="A134" s="447"/>
      <c r="B134" s="468" t="s">
        <v>1804</v>
      </c>
      <c r="C134" s="467" t="s">
        <v>1810</v>
      </c>
      <c r="D134" s="366"/>
      <c r="E134" s="366"/>
      <c r="F134" s="366"/>
      <c r="G134" s="367"/>
      <c r="H134" s="367"/>
      <c r="I134" s="367"/>
      <c r="J134" s="367"/>
      <c r="K134" s="367"/>
      <c r="L134" s="367"/>
      <c r="M134" s="367"/>
      <c r="N134" s="367"/>
      <c r="O134" s="367"/>
      <c r="P134" s="367"/>
      <c r="Q134" s="367"/>
      <c r="R134" s="364">
        <f t="shared" si="35"/>
        <v>0</v>
      </c>
      <c r="S134" s="364">
        <f t="shared" si="36"/>
        <v>0</v>
      </c>
    </row>
    <row r="135" spans="1:19" ht="36" x14ac:dyDescent="0.25">
      <c r="A135" s="447"/>
      <c r="B135" s="468" t="s">
        <v>1805</v>
      </c>
      <c r="C135" s="467" t="s">
        <v>1811</v>
      </c>
      <c r="D135" s="366"/>
      <c r="E135" s="366"/>
      <c r="F135" s="366"/>
      <c r="G135" s="367"/>
      <c r="H135" s="367"/>
      <c r="I135" s="367"/>
      <c r="J135" s="367"/>
      <c r="K135" s="367"/>
      <c r="L135" s="367"/>
      <c r="M135" s="367"/>
      <c r="N135" s="367"/>
      <c r="O135" s="367"/>
      <c r="P135" s="367"/>
      <c r="Q135" s="367"/>
      <c r="R135" s="364">
        <f t="shared" si="35"/>
        <v>0</v>
      </c>
      <c r="S135" s="364">
        <f t="shared" si="36"/>
        <v>0</v>
      </c>
    </row>
    <row r="136" spans="1:19" ht="24" x14ac:dyDescent="0.25">
      <c r="A136" s="447"/>
      <c r="B136" s="468" t="s">
        <v>1806</v>
      </c>
      <c r="C136" s="467" t="s">
        <v>1812</v>
      </c>
      <c r="D136" s="366"/>
      <c r="E136" s="366"/>
      <c r="F136" s="366"/>
      <c r="G136" s="367"/>
      <c r="H136" s="367"/>
      <c r="I136" s="367"/>
      <c r="J136" s="367"/>
      <c r="K136" s="367"/>
      <c r="L136" s="367"/>
      <c r="M136" s="367"/>
      <c r="N136" s="367"/>
      <c r="O136" s="367"/>
      <c r="P136" s="367"/>
      <c r="Q136" s="367"/>
      <c r="R136" s="364">
        <f t="shared" si="35"/>
        <v>0</v>
      </c>
      <c r="S136" s="364">
        <f t="shared" si="36"/>
        <v>0</v>
      </c>
    </row>
    <row r="137" spans="1:19" ht="24" x14ac:dyDescent="0.25">
      <c r="A137" s="447"/>
      <c r="B137" s="465" t="s">
        <v>1661</v>
      </c>
      <c r="C137" s="466" t="s">
        <v>1800</v>
      </c>
      <c r="D137" s="366">
        <f t="shared" ref="D137:Q137" si="44">D138+D139+D140</f>
        <v>0</v>
      </c>
      <c r="E137" s="366">
        <f t="shared" si="44"/>
        <v>0</v>
      </c>
      <c r="F137" s="366">
        <f t="shared" si="44"/>
        <v>0</v>
      </c>
      <c r="G137" s="366">
        <f t="shared" si="44"/>
        <v>0</v>
      </c>
      <c r="H137" s="366">
        <f t="shared" si="44"/>
        <v>16671820.5</v>
      </c>
      <c r="I137" s="366">
        <f t="shared" si="44"/>
        <v>13029543.58</v>
      </c>
      <c r="J137" s="366">
        <f t="shared" si="44"/>
        <v>35321328.890000001</v>
      </c>
      <c r="K137" s="366">
        <f t="shared" si="44"/>
        <v>18635289.789999999</v>
      </c>
      <c r="L137" s="366">
        <f t="shared" si="44"/>
        <v>3972884.7300000004</v>
      </c>
      <c r="M137" s="366">
        <f t="shared" si="44"/>
        <v>2440746.4900000002</v>
      </c>
      <c r="N137" s="366">
        <f t="shared" si="44"/>
        <v>0</v>
      </c>
      <c r="O137" s="366">
        <f t="shared" si="44"/>
        <v>0</v>
      </c>
      <c r="P137" s="366">
        <f t="shared" si="44"/>
        <v>0</v>
      </c>
      <c r="Q137" s="366">
        <f t="shared" si="44"/>
        <v>0</v>
      </c>
      <c r="R137" s="364">
        <f t="shared" si="35"/>
        <v>55966034.120000005</v>
      </c>
      <c r="S137" s="364">
        <f t="shared" si="36"/>
        <v>34105579.859999999</v>
      </c>
    </row>
    <row r="138" spans="1:19" ht="24" x14ac:dyDescent="0.25">
      <c r="A138" s="447"/>
      <c r="B138" s="468" t="s">
        <v>1813</v>
      </c>
      <c r="C138" s="467" t="s">
        <v>1816</v>
      </c>
      <c r="D138" s="366"/>
      <c r="E138" s="366"/>
      <c r="F138" s="366"/>
      <c r="G138" s="367"/>
      <c r="H138" s="367">
        <f>'2 lentele'!K411</f>
        <v>4249341.58</v>
      </c>
      <c r="I138" s="367">
        <f>'2 lentele'!P411</f>
        <v>3131158.0999999996</v>
      </c>
      <c r="J138" s="367">
        <f>'2 lentele'!K413</f>
        <v>199710</v>
      </c>
      <c r="K138" s="367">
        <f>'2 lentele'!P413</f>
        <v>164710</v>
      </c>
      <c r="L138" s="367"/>
      <c r="M138" s="367"/>
      <c r="N138" s="367"/>
      <c r="O138" s="367"/>
      <c r="P138" s="367"/>
      <c r="Q138" s="367"/>
      <c r="R138" s="364">
        <f t="shared" ref="R138:R161" si="45">D138+F138+H138+J138+L138+N138+P138</f>
        <v>4449051.58</v>
      </c>
      <c r="S138" s="364">
        <f t="shared" ref="S138:S161" si="46">E138+G138+I138+K138+M138+O138+Q138</f>
        <v>3295868.0999999996</v>
      </c>
    </row>
    <row r="139" spans="1:19" ht="36" x14ac:dyDescent="0.25">
      <c r="A139" s="447"/>
      <c r="B139" s="468" t="s">
        <v>1814</v>
      </c>
      <c r="C139" s="467" t="s">
        <v>1817</v>
      </c>
      <c r="D139" s="366"/>
      <c r="E139" s="366"/>
      <c r="F139" s="366"/>
      <c r="G139" s="367"/>
      <c r="H139" s="367">
        <f>'2 lentele'!K415+'2 lentele'!K431+'2 lentele'!K438</f>
        <v>12422478.92</v>
      </c>
      <c r="I139" s="367">
        <f>'2 lentele'!P431+'2 lentele'!P438+'2 lentele'!P415</f>
        <v>9898385.4800000004</v>
      </c>
      <c r="J139" s="367">
        <f>'2 lentele'!K428+'2 lentele'!K430+'2 lentele'!K432+'2 lentele'!K433+'2 lentele'!K434</f>
        <v>35121618.890000001</v>
      </c>
      <c r="K139" s="367">
        <f>'2 lentele'!P428+'2 lentele'!P430+'2 lentele'!P432+'2 lentele'!P433+'2 lentele'!P434</f>
        <v>18470579.789999999</v>
      </c>
      <c r="L139" s="367">
        <f>'2 lentele'!K429</f>
        <v>3972884.7300000004</v>
      </c>
      <c r="M139" s="367">
        <f>'2 lentele'!P429</f>
        <v>2440746.4900000002</v>
      </c>
      <c r="N139" s="367"/>
      <c r="O139" s="367"/>
      <c r="P139" s="367"/>
      <c r="Q139" s="367"/>
      <c r="R139" s="364">
        <f t="shared" si="45"/>
        <v>51516982.540000007</v>
      </c>
      <c r="S139" s="364">
        <f t="shared" si="46"/>
        <v>30809711.759999998</v>
      </c>
    </row>
    <row r="140" spans="1:19" ht="24" x14ac:dyDescent="0.25">
      <c r="A140" s="447"/>
      <c r="B140" s="468" t="s">
        <v>1815</v>
      </c>
      <c r="C140" s="467" t="s">
        <v>1818</v>
      </c>
      <c r="D140" s="366"/>
      <c r="E140" s="366"/>
      <c r="F140" s="366"/>
      <c r="G140" s="367"/>
      <c r="H140" s="367"/>
      <c r="I140" s="367"/>
      <c r="J140" s="367"/>
      <c r="K140" s="367"/>
      <c r="L140" s="367"/>
      <c r="M140" s="367"/>
      <c r="N140" s="367"/>
      <c r="O140" s="367"/>
      <c r="P140" s="367"/>
      <c r="Q140" s="367"/>
      <c r="R140" s="364">
        <f t="shared" si="45"/>
        <v>0</v>
      </c>
      <c r="S140" s="364">
        <f t="shared" si="46"/>
        <v>0</v>
      </c>
    </row>
    <row r="141" spans="1:19" ht="24" x14ac:dyDescent="0.25">
      <c r="A141" s="447"/>
      <c r="B141" s="465" t="s">
        <v>1663</v>
      </c>
      <c r="C141" s="466" t="s">
        <v>1666</v>
      </c>
      <c r="D141" s="366">
        <f t="shared" ref="D141:Q141" si="47">D142+D143+D144+D145+D146</f>
        <v>0</v>
      </c>
      <c r="E141" s="366">
        <f t="shared" si="47"/>
        <v>0</v>
      </c>
      <c r="F141" s="366">
        <f t="shared" si="47"/>
        <v>0</v>
      </c>
      <c r="G141" s="366">
        <f t="shared" si="47"/>
        <v>0</v>
      </c>
      <c r="H141" s="366">
        <f t="shared" si="47"/>
        <v>0</v>
      </c>
      <c r="I141" s="366">
        <f t="shared" si="47"/>
        <v>0</v>
      </c>
      <c r="J141" s="366">
        <f t="shared" si="47"/>
        <v>8624696</v>
      </c>
      <c r="K141" s="366">
        <f t="shared" si="47"/>
        <v>7033629</v>
      </c>
      <c r="L141" s="366">
        <f t="shared" si="47"/>
        <v>1532000</v>
      </c>
      <c r="M141" s="366">
        <f t="shared" si="47"/>
        <v>1130000</v>
      </c>
      <c r="N141" s="366">
        <f t="shared" si="47"/>
        <v>0</v>
      </c>
      <c r="O141" s="366">
        <f t="shared" si="47"/>
        <v>0</v>
      </c>
      <c r="P141" s="366">
        <f t="shared" si="47"/>
        <v>0</v>
      </c>
      <c r="Q141" s="366">
        <f t="shared" si="47"/>
        <v>0</v>
      </c>
      <c r="R141" s="364">
        <f t="shared" si="45"/>
        <v>10156696</v>
      </c>
      <c r="S141" s="364">
        <f t="shared" si="46"/>
        <v>8163629</v>
      </c>
    </row>
    <row r="142" spans="1:19" x14ac:dyDescent="0.25">
      <c r="A142" s="447"/>
      <c r="B142" s="468" t="s">
        <v>1819</v>
      </c>
      <c r="C142" s="467" t="s">
        <v>1824</v>
      </c>
      <c r="D142" s="366"/>
      <c r="E142" s="366"/>
      <c r="F142" s="366"/>
      <c r="G142" s="367"/>
      <c r="H142" s="367"/>
      <c r="I142" s="367"/>
      <c r="J142" s="367"/>
      <c r="K142" s="367"/>
      <c r="L142" s="367"/>
      <c r="M142" s="367"/>
      <c r="N142" s="367"/>
      <c r="O142" s="367"/>
      <c r="P142" s="367"/>
      <c r="Q142" s="367"/>
      <c r="R142" s="364">
        <f t="shared" si="45"/>
        <v>0</v>
      </c>
      <c r="S142" s="364">
        <f t="shared" si="46"/>
        <v>0</v>
      </c>
    </row>
    <row r="143" spans="1:19" ht="48" x14ac:dyDescent="0.25">
      <c r="A143" s="447"/>
      <c r="B143" s="468" t="s">
        <v>1820</v>
      </c>
      <c r="C143" s="467" t="s">
        <v>1825</v>
      </c>
      <c r="D143" s="366"/>
      <c r="E143" s="366"/>
      <c r="F143" s="366"/>
      <c r="G143" s="367"/>
      <c r="H143" s="367"/>
      <c r="I143" s="367"/>
      <c r="J143" s="367">
        <f>'2 lentele'!K448</f>
        <v>349838</v>
      </c>
      <c r="K143" s="367">
        <f>'2 lentele'!P448</f>
        <v>0</v>
      </c>
      <c r="L143" s="367">
        <f>'2 lentele'!K443+'2 lentele'!K444+'2 lentele'!K445</f>
        <v>1532000</v>
      </c>
      <c r="M143" s="367">
        <f>'2 lentele'!P443+'2 lentele'!P444+'2 lentele'!P445</f>
        <v>1130000</v>
      </c>
      <c r="N143" s="367"/>
      <c r="O143" s="367"/>
      <c r="P143" s="367"/>
      <c r="Q143" s="367"/>
      <c r="R143" s="364">
        <f t="shared" si="45"/>
        <v>1881838</v>
      </c>
      <c r="S143" s="364">
        <f t="shared" si="46"/>
        <v>1130000</v>
      </c>
    </row>
    <row r="144" spans="1:19" ht="36" x14ac:dyDescent="0.25">
      <c r="A144" s="447"/>
      <c r="B144" s="468" t="s">
        <v>1821</v>
      </c>
      <c r="C144" s="467" t="s">
        <v>1826</v>
      </c>
      <c r="D144" s="366"/>
      <c r="E144" s="366"/>
      <c r="F144" s="366"/>
      <c r="G144" s="367"/>
      <c r="H144" s="367"/>
      <c r="I144" s="367"/>
      <c r="J144" s="367">
        <f>'2 lentele'!K450</f>
        <v>8274858</v>
      </c>
      <c r="K144" s="367">
        <f>'2 lentele'!P450</f>
        <v>7033629</v>
      </c>
      <c r="L144" s="367"/>
      <c r="M144" s="367"/>
      <c r="N144" s="367"/>
      <c r="O144" s="367"/>
      <c r="P144" s="367"/>
      <c r="Q144" s="367"/>
      <c r="R144" s="364">
        <f t="shared" si="45"/>
        <v>8274858</v>
      </c>
      <c r="S144" s="364">
        <f t="shared" si="46"/>
        <v>7033629</v>
      </c>
    </row>
    <row r="145" spans="1:19" ht="48" x14ac:dyDescent="0.25">
      <c r="A145" s="447"/>
      <c r="B145" s="468" t="s">
        <v>1822</v>
      </c>
      <c r="C145" s="467" t="s">
        <v>1827</v>
      </c>
      <c r="D145" s="366"/>
      <c r="E145" s="366"/>
      <c r="F145" s="366"/>
      <c r="G145" s="367"/>
      <c r="H145" s="367"/>
      <c r="I145" s="367"/>
      <c r="J145" s="367"/>
      <c r="K145" s="367"/>
      <c r="L145" s="367"/>
      <c r="M145" s="367"/>
      <c r="N145" s="367"/>
      <c r="O145" s="367"/>
      <c r="P145" s="367"/>
      <c r="Q145" s="367"/>
      <c r="R145" s="364">
        <f t="shared" si="45"/>
        <v>0</v>
      </c>
      <c r="S145" s="364">
        <f t="shared" si="46"/>
        <v>0</v>
      </c>
    </row>
    <row r="146" spans="1:19" ht="24" x14ac:dyDescent="0.25">
      <c r="A146" s="447"/>
      <c r="B146" s="468" t="s">
        <v>1823</v>
      </c>
      <c r="C146" s="467" t="s">
        <v>1828</v>
      </c>
      <c r="D146" s="366"/>
      <c r="E146" s="366"/>
      <c r="F146" s="366"/>
      <c r="G146" s="367"/>
      <c r="H146" s="367"/>
      <c r="I146" s="367"/>
      <c r="J146" s="367"/>
      <c r="K146" s="367"/>
      <c r="L146" s="367"/>
      <c r="M146" s="367"/>
      <c r="N146" s="367"/>
      <c r="O146" s="367"/>
      <c r="P146" s="367"/>
      <c r="Q146" s="367"/>
      <c r="R146" s="364">
        <f t="shared" si="45"/>
        <v>0</v>
      </c>
      <c r="S146" s="364">
        <f t="shared" si="46"/>
        <v>0</v>
      </c>
    </row>
    <row r="147" spans="1:19" ht="24" x14ac:dyDescent="0.25">
      <c r="A147" s="447"/>
      <c r="B147" s="465" t="s">
        <v>1664</v>
      </c>
      <c r="C147" s="466" t="s">
        <v>1667</v>
      </c>
      <c r="D147" s="366">
        <f t="shared" ref="D147:Q147" si="48">D148+D149+D150+D151+D152</f>
        <v>0</v>
      </c>
      <c r="E147" s="366">
        <f t="shared" si="48"/>
        <v>0</v>
      </c>
      <c r="F147" s="366">
        <f t="shared" si="48"/>
        <v>0</v>
      </c>
      <c r="G147" s="366">
        <f t="shared" si="48"/>
        <v>0</v>
      </c>
      <c r="H147" s="366">
        <f t="shared" si="48"/>
        <v>430002.16</v>
      </c>
      <c r="I147" s="366">
        <f t="shared" si="48"/>
        <v>408502.05</v>
      </c>
      <c r="J147" s="366">
        <f t="shared" si="48"/>
        <v>2115207.5300000003</v>
      </c>
      <c r="K147" s="366">
        <f t="shared" si="48"/>
        <v>1877226.5</v>
      </c>
      <c r="L147" s="366">
        <f t="shared" si="48"/>
        <v>514173.03</v>
      </c>
      <c r="M147" s="366">
        <f t="shared" si="48"/>
        <v>437047.08</v>
      </c>
      <c r="N147" s="366">
        <f t="shared" si="48"/>
        <v>88678.399999999994</v>
      </c>
      <c r="O147" s="366">
        <f t="shared" si="48"/>
        <v>75376.639999999999</v>
      </c>
      <c r="P147" s="366">
        <f t="shared" si="48"/>
        <v>0</v>
      </c>
      <c r="Q147" s="366">
        <f t="shared" si="48"/>
        <v>0</v>
      </c>
      <c r="R147" s="364">
        <f t="shared" si="45"/>
        <v>3148061.1200000006</v>
      </c>
      <c r="S147" s="364">
        <f t="shared" si="46"/>
        <v>2798152.27</v>
      </c>
    </row>
    <row r="148" spans="1:19" ht="36" x14ac:dyDescent="0.25">
      <c r="A148" s="447"/>
      <c r="B148" s="468" t="s">
        <v>1829</v>
      </c>
      <c r="C148" s="467" t="s">
        <v>1837</v>
      </c>
      <c r="D148" s="366"/>
      <c r="E148" s="366"/>
      <c r="F148" s="366"/>
      <c r="G148" s="367"/>
      <c r="H148" s="367"/>
      <c r="I148" s="367"/>
      <c r="J148" s="367"/>
      <c r="K148" s="367"/>
      <c r="L148" s="367"/>
      <c r="M148" s="367"/>
      <c r="N148" s="367"/>
      <c r="O148" s="367"/>
      <c r="P148" s="367"/>
      <c r="Q148" s="367"/>
      <c r="R148" s="364">
        <f t="shared" si="45"/>
        <v>0</v>
      </c>
      <c r="S148" s="364">
        <f t="shared" si="46"/>
        <v>0</v>
      </c>
    </row>
    <row r="149" spans="1:19" ht="36" x14ac:dyDescent="0.25">
      <c r="A149" s="447"/>
      <c r="B149" s="468" t="s">
        <v>1830</v>
      </c>
      <c r="C149" s="467" t="s">
        <v>1838</v>
      </c>
      <c r="D149" s="366"/>
      <c r="E149" s="366"/>
      <c r="F149" s="366"/>
      <c r="G149" s="367"/>
      <c r="H149" s="367">
        <f>'2 lentele'!K457</f>
        <v>430002.16</v>
      </c>
      <c r="I149" s="367">
        <f>'2 lentele'!P457</f>
        <v>408502.05</v>
      </c>
      <c r="J149" s="367">
        <f>'2 lentele'!K456+'2 lentele'!K458+'2 lentele'!K459+'2 lentele'!K460</f>
        <v>1343480.27</v>
      </c>
      <c r="K149" s="367">
        <f>'2 lentele'!P456+'2 lentele'!P458+'2 lentele'!P459+'2 lentele'!P460</f>
        <v>1221258.3400000001</v>
      </c>
      <c r="L149" s="367">
        <f>'2 lentele'!K461</f>
        <v>185597.87</v>
      </c>
      <c r="M149" s="367">
        <f>'2 lentele'!P461</f>
        <v>157758.19</v>
      </c>
      <c r="N149" s="367"/>
      <c r="O149" s="367"/>
      <c r="P149" s="367"/>
      <c r="Q149" s="367"/>
      <c r="R149" s="364">
        <f t="shared" si="45"/>
        <v>1959080.2999999998</v>
      </c>
      <c r="S149" s="364">
        <f t="shared" si="46"/>
        <v>1787518.58</v>
      </c>
    </row>
    <row r="150" spans="1:19" ht="24" x14ac:dyDescent="0.25">
      <c r="A150" s="447"/>
      <c r="B150" s="468" t="s">
        <v>1831</v>
      </c>
      <c r="C150" s="467" t="s">
        <v>378</v>
      </c>
      <c r="D150" s="366"/>
      <c r="E150" s="366"/>
      <c r="F150" s="366"/>
      <c r="G150" s="367"/>
      <c r="H150" s="367"/>
      <c r="I150" s="367"/>
      <c r="J150" s="367"/>
      <c r="K150" s="367"/>
      <c r="L150" s="367"/>
      <c r="M150" s="367"/>
      <c r="N150" s="367"/>
      <c r="O150" s="367"/>
      <c r="P150" s="367"/>
      <c r="Q150" s="367"/>
      <c r="R150" s="364">
        <f t="shared" si="45"/>
        <v>0</v>
      </c>
      <c r="S150" s="364">
        <f t="shared" si="46"/>
        <v>0</v>
      </c>
    </row>
    <row r="151" spans="1:19" ht="24" x14ac:dyDescent="0.25">
      <c r="A151" s="447"/>
      <c r="B151" s="468" t="s">
        <v>1832</v>
      </c>
      <c r="C151" s="467" t="s">
        <v>379</v>
      </c>
      <c r="D151" s="366"/>
      <c r="E151" s="366"/>
      <c r="F151" s="366"/>
      <c r="G151" s="367"/>
      <c r="H151" s="367"/>
      <c r="I151" s="367"/>
      <c r="J151" s="367"/>
      <c r="K151" s="367"/>
      <c r="L151" s="367"/>
      <c r="M151" s="367"/>
      <c r="N151" s="367"/>
      <c r="O151" s="367"/>
      <c r="P151" s="367"/>
      <c r="Q151" s="367"/>
      <c r="R151" s="364">
        <f t="shared" si="45"/>
        <v>0</v>
      </c>
      <c r="S151" s="364">
        <f t="shared" si="46"/>
        <v>0</v>
      </c>
    </row>
    <row r="152" spans="1:19" ht="24" x14ac:dyDescent="0.25">
      <c r="A152" s="447"/>
      <c r="B152" s="468" t="s">
        <v>1335</v>
      </c>
      <c r="C152" s="467" t="s">
        <v>1336</v>
      </c>
      <c r="D152" s="366"/>
      <c r="E152" s="366"/>
      <c r="F152" s="366"/>
      <c r="G152" s="367"/>
      <c r="H152" s="367"/>
      <c r="I152" s="367"/>
      <c r="J152" s="367">
        <f>'2 lentele'!K465+'2 lentele'!K466+'2 lentele'!K468</f>
        <v>771727.26</v>
      </c>
      <c r="K152" s="367">
        <f>'2 lentele'!P465+'2 lentele'!P466+'2 lentele'!P468</f>
        <v>655968.16</v>
      </c>
      <c r="L152" s="367">
        <f>'2 lentele'!K469</f>
        <v>328575.16000000003</v>
      </c>
      <c r="M152" s="367">
        <f>'2 lentele'!P469</f>
        <v>279288.89</v>
      </c>
      <c r="N152" s="367">
        <f>'2 lentele'!K467</f>
        <v>88678.399999999994</v>
      </c>
      <c r="O152" s="367">
        <f>'2 lentele'!P467</f>
        <v>75376.639999999999</v>
      </c>
      <c r="P152" s="367"/>
      <c r="Q152" s="367"/>
      <c r="R152" s="364">
        <f t="shared" si="45"/>
        <v>1188980.8199999998</v>
      </c>
      <c r="S152" s="364">
        <f t="shared" si="46"/>
        <v>1010633.6900000001</v>
      </c>
    </row>
    <row r="153" spans="1:19" ht="36" x14ac:dyDescent="0.25">
      <c r="A153" s="447"/>
      <c r="B153" s="470" t="s">
        <v>1668</v>
      </c>
      <c r="C153" s="466" t="s">
        <v>388</v>
      </c>
      <c r="D153" s="366">
        <f t="shared" ref="D153:Q153" si="49">D154+D159</f>
        <v>0</v>
      </c>
      <c r="E153" s="366">
        <f t="shared" si="49"/>
        <v>0</v>
      </c>
      <c r="F153" s="366">
        <f t="shared" si="49"/>
        <v>0</v>
      </c>
      <c r="G153" s="366">
        <f t="shared" si="49"/>
        <v>0</v>
      </c>
      <c r="H153" s="366">
        <f t="shared" si="49"/>
        <v>0</v>
      </c>
      <c r="I153" s="366">
        <f t="shared" si="49"/>
        <v>0</v>
      </c>
      <c r="J153" s="366">
        <f t="shared" si="49"/>
        <v>360666.54</v>
      </c>
      <c r="K153" s="366">
        <f t="shared" si="49"/>
        <v>297875.75</v>
      </c>
      <c r="L153" s="366">
        <f t="shared" si="49"/>
        <v>0</v>
      </c>
      <c r="M153" s="366">
        <f t="shared" si="49"/>
        <v>0</v>
      </c>
      <c r="N153" s="366">
        <f t="shared" si="49"/>
        <v>0</v>
      </c>
      <c r="O153" s="366">
        <f t="shared" si="49"/>
        <v>0</v>
      </c>
      <c r="P153" s="366">
        <f t="shared" si="49"/>
        <v>0</v>
      </c>
      <c r="Q153" s="366">
        <f t="shared" si="49"/>
        <v>0</v>
      </c>
      <c r="R153" s="364">
        <f t="shared" si="45"/>
        <v>360666.54</v>
      </c>
      <c r="S153" s="364">
        <f t="shared" si="46"/>
        <v>297875.75</v>
      </c>
    </row>
    <row r="154" spans="1:19" ht="60" x14ac:dyDescent="0.25">
      <c r="A154" s="447"/>
      <c r="B154" s="465" t="s">
        <v>1669</v>
      </c>
      <c r="C154" s="466" t="s">
        <v>1671</v>
      </c>
      <c r="D154" s="366">
        <f t="shared" ref="D154:Q154" si="50">D155+D156+D157+D158</f>
        <v>0</v>
      </c>
      <c r="E154" s="366">
        <f t="shared" si="50"/>
        <v>0</v>
      </c>
      <c r="F154" s="366">
        <f t="shared" si="50"/>
        <v>0</v>
      </c>
      <c r="G154" s="366">
        <f t="shared" si="50"/>
        <v>0</v>
      </c>
      <c r="H154" s="366">
        <f t="shared" si="50"/>
        <v>0</v>
      </c>
      <c r="I154" s="366">
        <f t="shared" si="50"/>
        <v>0</v>
      </c>
      <c r="J154" s="366">
        <f t="shared" si="50"/>
        <v>360666.54</v>
      </c>
      <c r="K154" s="366">
        <f t="shared" si="50"/>
        <v>297875.75</v>
      </c>
      <c r="L154" s="366">
        <f t="shared" si="50"/>
        <v>0</v>
      </c>
      <c r="M154" s="366">
        <f t="shared" si="50"/>
        <v>0</v>
      </c>
      <c r="N154" s="366">
        <f t="shared" si="50"/>
        <v>0</v>
      </c>
      <c r="O154" s="366">
        <f t="shared" si="50"/>
        <v>0</v>
      </c>
      <c r="P154" s="366">
        <f t="shared" si="50"/>
        <v>0</v>
      </c>
      <c r="Q154" s="366">
        <f t="shared" si="50"/>
        <v>0</v>
      </c>
      <c r="R154" s="364">
        <f t="shared" si="45"/>
        <v>360666.54</v>
      </c>
      <c r="S154" s="364">
        <f t="shared" si="46"/>
        <v>297875.75</v>
      </c>
    </row>
    <row r="155" spans="1:19" ht="36" x14ac:dyDescent="0.25">
      <c r="A155" s="447"/>
      <c r="B155" s="468" t="s">
        <v>1833</v>
      </c>
      <c r="C155" s="467" t="s">
        <v>380</v>
      </c>
      <c r="D155" s="366"/>
      <c r="E155" s="366"/>
      <c r="F155" s="366"/>
      <c r="G155" s="367"/>
      <c r="H155" s="367"/>
      <c r="I155" s="367"/>
      <c r="J155" s="367">
        <f>'2 lentele'!K473+'2 lentele'!K474+'2 lentele'!K475</f>
        <v>360666.54</v>
      </c>
      <c r="K155" s="367">
        <f>'2 lentele'!P473+'2 lentele'!P474+'2 lentele'!P475</f>
        <v>297875.75</v>
      </c>
      <c r="L155" s="367"/>
      <c r="M155" s="367"/>
      <c r="N155" s="367"/>
      <c r="O155" s="367"/>
      <c r="P155" s="367"/>
      <c r="Q155" s="367"/>
      <c r="R155" s="364">
        <f t="shared" si="45"/>
        <v>360666.54</v>
      </c>
      <c r="S155" s="364">
        <f t="shared" si="46"/>
        <v>297875.75</v>
      </c>
    </row>
    <row r="156" spans="1:19" ht="36" x14ac:dyDescent="0.25">
      <c r="A156" s="447"/>
      <c r="B156" s="468" t="s">
        <v>1834</v>
      </c>
      <c r="C156" s="467" t="s">
        <v>381</v>
      </c>
      <c r="D156" s="366"/>
      <c r="E156" s="366"/>
      <c r="F156" s="366"/>
      <c r="G156" s="367"/>
      <c r="H156" s="367"/>
      <c r="I156" s="367"/>
      <c r="J156" s="367"/>
      <c r="K156" s="367"/>
      <c r="L156" s="367"/>
      <c r="M156" s="367"/>
      <c r="N156" s="367"/>
      <c r="O156" s="367"/>
      <c r="P156" s="367"/>
      <c r="Q156" s="367"/>
      <c r="R156" s="364">
        <f t="shared" si="45"/>
        <v>0</v>
      </c>
      <c r="S156" s="364">
        <f t="shared" si="46"/>
        <v>0</v>
      </c>
    </row>
    <row r="157" spans="1:19" x14ac:dyDescent="0.25">
      <c r="A157" s="447"/>
      <c r="B157" s="468" t="s">
        <v>1835</v>
      </c>
      <c r="C157" s="467" t="s">
        <v>382</v>
      </c>
      <c r="D157" s="366"/>
      <c r="E157" s="366"/>
      <c r="F157" s="366"/>
      <c r="G157" s="367"/>
      <c r="H157" s="367"/>
      <c r="I157" s="367"/>
      <c r="J157" s="367"/>
      <c r="K157" s="367"/>
      <c r="L157" s="367"/>
      <c r="M157" s="367"/>
      <c r="N157" s="367"/>
      <c r="O157" s="367"/>
      <c r="P157" s="367"/>
      <c r="Q157" s="367"/>
      <c r="R157" s="364">
        <f t="shared" si="45"/>
        <v>0</v>
      </c>
      <c r="S157" s="364">
        <f t="shared" si="46"/>
        <v>0</v>
      </c>
    </row>
    <row r="158" spans="1:19" ht="36" x14ac:dyDescent="0.25">
      <c r="A158" s="447"/>
      <c r="B158" s="468" t="s">
        <v>1836</v>
      </c>
      <c r="C158" s="467" t="s">
        <v>383</v>
      </c>
      <c r="D158" s="366"/>
      <c r="E158" s="366"/>
      <c r="F158" s="366"/>
      <c r="G158" s="367"/>
      <c r="H158" s="367"/>
      <c r="I158" s="367"/>
      <c r="J158" s="367"/>
      <c r="K158" s="367"/>
      <c r="L158" s="367"/>
      <c r="M158" s="367"/>
      <c r="N158" s="367"/>
      <c r="O158" s="367"/>
      <c r="P158" s="367"/>
      <c r="Q158" s="367"/>
      <c r="R158" s="364">
        <f t="shared" si="45"/>
        <v>0</v>
      </c>
      <c r="S158" s="364">
        <f t="shared" si="46"/>
        <v>0</v>
      </c>
    </row>
    <row r="159" spans="1:19" ht="24" x14ac:dyDescent="0.25">
      <c r="A159" s="447"/>
      <c r="B159" s="465" t="s">
        <v>1670</v>
      </c>
      <c r="C159" s="466" t="s">
        <v>1672</v>
      </c>
      <c r="D159" s="366">
        <f t="shared" ref="D159:Q159" si="51">D160+D161</f>
        <v>0</v>
      </c>
      <c r="E159" s="366">
        <f t="shared" si="51"/>
        <v>0</v>
      </c>
      <c r="F159" s="366">
        <f t="shared" si="51"/>
        <v>0</v>
      </c>
      <c r="G159" s="366">
        <f t="shared" si="51"/>
        <v>0</v>
      </c>
      <c r="H159" s="366">
        <f t="shared" si="51"/>
        <v>0</v>
      </c>
      <c r="I159" s="366">
        <f t="shared" si="51"/>
        <v>0</v>
      </c>
      <c r="J159" s="366">
        <f t="shared" si="51"/>
        <v>0</v>
      </c>
      <c r="K159" s="366">
        <f t="shared" si="51"/>
        <v>0</v>
      </c>
      <c r="L159" s="366">
        <f t="shared" si="51"/>
        <v>0</v>
      </c>
      <c r="M159" s="366">
        <f t="shared" si="51"/>
        <v>0</v>
      </c>
      <c r="N159" s="366">
        <f t="shared" si="51"/>
        <v>0</v>
      </c>
      <c r="O159" s="366">
        <f t="shared" si="51"/>
        <v>0</v>
      </c>
      <c r="P159" s="366">
        <f t="shared" si="51"/>
        <v>0</v>
      </c>
      <c r="Q159" s="366">
        <f t="shared" si="51"/>
        <v>0</v>
      </c>
      <c r="R159" s="364">
        <f t="shared" si="45"/>
        <v>0</v>
      </c>
      <c r="S159" s="364">
        <f t="shared" si="46"/>
        <v>0</v>
      </c>
    </row>
    <row r="160" spans="1:19" ht="48" x14ac:dyDescent="0.25">
      <c r="A160" s="447"/>
      <c r="B160" s="468" t="s">
        <v>384</v>
      </c>
      <c r="C160" s="467" t="s">
        <v>386</v>
      </c>
      <c r="D160" s="366"/>
      <c r="E160" s="366"/>
      <c r="F160" s="366"/>
      <c r="G160" s="367"/>
      <c r="H160" s="367"/>
      <c r="I160" s="367"/>
      <c r="J160" s="367"/>
      <c r="K160" s="367"/>
      <c r="L160" s="367"/>
      <c r="M160" s="367"/>
      <c r="N160" s="367"/>
      <c r="O160" s="367"/>
      <c r="P160" s="367"/>
      <c r="Q160" s="367"/>
      <c r="R160" s="364">
        <f t="shared" si="45"/>
        <v>0</v>
      </c>
      <c r="S160" s="364">
        <f t="shared" si="46"/>
        <v>0</v>
      </c>
    </row>
    <row r="161" spans="1:19" x14ac:dyDescent="0.25">
      <c r="A161" s="447"/>
      <c r="B161" s="468" t="s">
        <v>385</v>
      </c>
      <c r="C161" s="467" t="s">
        <v>387</v>
      </c>
      <c r="D161" s="368"/>
      <c r="E161" s="368"/>
      <c r="F161" s="368"/>
      <c r="G161" s="369"/>
      <c r="H161" s="369"/>
      <c r="I161" s="369"/>
      <c r="J161" s="369"/>
      <c r="K161" s="369"/>
      <c r="L161" s="369"/>
      <c r="M161" s="369"/>
      <c r="N161" s="369"/>
      <c r="O161" s="369"/>
      <c r="P161" s="369"/>
      <c r="Q161" s="369"/>
      <c r="R161" s="364">
        <f t="shared" si="45"/>
        <v>0</v>
      </c>
      <c r="S161" s="364">
        <f t="shared" si="46"/>
        <v>0</v>
      </c>
    </row>
    <row r="162" spans="1:19" ht="15.75" x14ac:dyDescent="0.25">
      <c r="B162" s="362"/>
      <c r="C162" s="362"/>
      <c r="D162" s="484" t="s">
        <v>455</v>
      </c>
      <c r="E162" s="484"/>
      <c r="F162" s="484"/>
      <c r="G162" s="370"/>
      <c r="H162" s="370"/>
      <c r="I162" s="370"/>
      <c r="J162" s="370"/>
      <c r="K162" s="370"/>
      <c r="L162" s="370"/>
      <c r="M162" s="370"/>
      <c r="N162" s="370"/>
      <c r="O162" s="370"/>
      <c r="P162" s="370"/>
      <c r="Q162" s="370"/>
      <c r="R162" s="364"/>
      <c r="S162" s="370"/>
    </row>
    <row r="163" spans="1:19" ht="38.25" customHeight="1" x14ac:dyDescent="0.25">
      <c r="B163" s="362"/>
      <c r="C163" s="362"/>
      <c r="D163" s="485">
        <v>2014</v>
      </c>
      <c r="E163" s="485"/>
      <c r="F163" s="485">
        <v>2015</v>
      </c>
      <c r="G163" s="485"/>
      <c r="H163" s="485">
        <v>2016</v>
      </c>
      <c r="I163" s="485"/>
      <c r="J163" s="485">
        <v>2017</v>
      </c>
      <c r="K163" s="485"/>
      <c r="L163" s="485">
        <v>2018</v>
      </c>
      <c r="M163" s="485"/>
      <c r="N163" s="485">
        <v>2019</v>
      </c>
      <c r="O163" s="485"/>
      <c r="P163" s="485">
        <v>2020</v>
      </c>
      <c r="Q163" s="485"/>
      <c r="R163" s="486" t="s">
        <v>451</v>
      </c>
      <c r="S163" s="486"/>
    </row>
    <row r="164" spans="1:19" ht="15.75" x14ac:dyDescent="0.25">
      <c r="B164" s="362"/>
      <c r="C164" s="362"/>
      <c r="D164" s="363" t="s">
        <v>306</v>
      </c>
      <c r="E164" s="363" t="s">
        <v>1526</v>
      </c>
      <c r="F164" s="363" t="s">
        <v>306</v>
      </c>
      <c r="G164" s="363" t="s">
        <v>1526</v>
      </c>
      <c r="H164" s="363" t="s">
        <v>306</v>
      </c>
      <c r="I164" s="363" t="s">
        <v>1526</v>
      </c>
      <c r="J164" s="363" t="s">
        <v>306</v>
      </c>
      <c r="K164" s="363" t="s">
        <v>1526</v>
      </c>
      <c r="L164" s="363" t="s">
        <v>306</v>
      </c>
      <c r="M164" s="363" t="s">
        <v>1526</v>
      </c>
      <c r="N164" s="363" t="s">
        <v>306</v>
      </c>
      <c r="O164" s="363" t="s">
        <v>1526</v>
      </c>
      <c r="P164" s="363" t="s">
        <v>306</v>
      </c>
      <c r="Q164" s="363" t="s">
        <v>1526</v>
      </c>
      <c r="R164" s="363" t="s">
        <v>306</v>
      </c>
      <c r="S164" s="363" t="s">
        <v>1526</v>
      </c>
    </row>
    <row r="165" spans="1:19" ht="15.75" x14ac:dyDescent="0.25">
      <c r="B165" s="362"/>
      <c r="C165" s="362"/>
      <c r="D165" s="371">
        <f t="shared" ref="D165:Q165" si="52">D10+D47+D128</f>
        <v>1255091</v>
      </c>
      <c r="E165" s="371">
        <f t="shared" si="52"/>
        <v>0</v>
      </c>
      <c r="F165" s="371">
        <f t="shared" si="52"/>
        <v>0</v>
      </c>
      <c r="G165" s="371">
        <f t="shared" si="52"/>
        <v>0</v>
      </c>
      <c r="H165" s="371">
        <f t="shared" si="52"/>
        <v>58378214.190000005</v>
      </c>
      <c r="I165" s="371">
        <f t="shared" si="52"/>
        <v>42115244.890000001</v>
      </c>
      <c r="J165" s="371">
        <f t="shared" si="52"/>
        <v>159512305.11599627</v>
      </c>
      <c r="K165" s="371">
        <f t="shared" si="52"/>
        <v>107888967.59599629</v>
      </c>
      <c r="L165" s="371">
        <f t="shared" si="52"/>
        <v>96831098.390000001</v>
      </c>
      <c r="M165" s="371">
        <f t="shared" si="52"/>
        <v>73291216.219999999</v>
      </c>
      <c r="N165" s="371">
        <f t="shared" si="52"/>
        <v>2935883.92</v>
      </c>
      <c r="O165" s="371">
        <f t="shared" si="52"/>
        <v>2495500.4700000002</v>
      </c>
      <c r="P165" s="371">
        <f t="shared" si="52"/>
        <v>0</v>
      </c>
      <c r="Q165" s="371">
        <f t="shared" si="52"/>
        <v>0</v>
      </c>
      <c r="R165" s="364">
        <f>D165+F165+H165+J165+L165+N165+P165</f>
        <v>318912592.6159963</v>
      </c>
      <c r="S165" s="364">
        <f>E165+G165+I165+K165+M165+O165+Q165</f>
        <v>225790929.1759963</v>
      </c>
    </row>
    <row r="166" spans="1:19" ht="15.75" x14ac:dyDescent="0.25">
      <c r="B166" s="361"/>
    </row>
    <row r="168" spans="1:19" ht="15.75" x14ac:dyDescent="0.25">
      <c r="B168" s="361"/>
    </row>
    <row r="169" spans="1:19" ht="15.75" x14ac:dyDescent="0.25">
      <c r="B169" s="372"/>
      <c r="C169" s="372"/>
      <c r="D169" s="372"/>
      <c r="E169" s="373"/>
      <c r="F169" s="373"/>
      <c r="G169" s="372"/>
    </row>
    <row r="170" spans="1:19" ht="15.75" x14ac:dyDescent="0.25">
      <c r="B170" s="372"/>
      <c r="C170" s="372"/>
      <c r="D170" s="372"/>
      <c r="E170" s="373"/>
      <c r="F170" s="373"/>
      <c r="G170" s="372"/>
    </row>
    <row r="171" spans="1:19" ht="15.75" x14ac:dyDescent="0.25">
      <c r="B171" s="372"/>
      <c r="C171" s="372"/>
      <c r="D171" s="372"/>
      <c r="E171" s="373"/>
      <c r="F171" s="373"/>
      <c r="G171" s="372"/>
    </row>
    <row r="172" spans="1:19" ht="15.75" x14ac:dyDescent="0.25">
      <c r="B172" s="372"/>
      <c r="C172" s="372"/>
      <c r="D172" s="372"/>
      <c r="E172" s="373"/>
      <c r="F172" s="373"/>
      <c r="G172" s="372"/>
    </row>
    <row r="173" spans="1:19" ht="15.75" x14ac:dyDescent="0.25">
      <c r="B173" s="372"/>
      <c r="C173" s="372"/>
      <c r="D173" s="372"/>
      <c r="E173" s="373"/>
      <c r="F173" s="373"/>
      <c r="G173" s="372"/>
    </row>
    <row r="174" spans="1:19" ht="15.75" x14ac:dyDescent="0.25">
      <c r="B174" s="372"/>
      <c r="C174" s="372"/>
      <c r="D174" s="372"/>
      <c r="E174" s="373"/>
      <c r="F174" s="373"/>
      <c r="G174" s="372"/>
    </row>
    <row r="175" spans="1:19" ht="15.75" x14ac:dyDescent="0.25">
      <c r="B175" s="372"/>
      <c r="C175" s="372"/>
      <c r="D175" s="372"/>
      <c r="E175" s="373"/>
      <c r="F175" s="373"/>
      <c r="G175" s="372"/>
    </row>
    <row r="176" spans="1:19" ht="15.75" x14ac:dyDescent="0.25">
      <c r="B176" s="372"/>
      <c r="C176" s="372"/>
      <c r="D176" s="372"/>
      <c r="E176" s="373"/>
      <c r="F176" s="373"/>
      <c r="G176" s="372"/>
    </row>
    <row r="177" spans="2:7" ht="15.75" x14ac:dyDescent="0.25">
      <c r="B177" s="372"/>
      <c r="C177" s="372"/>
      <c r="D177" s="372"/>
      <c r="E177" s="373"/>
      <c r="F177" s="373"/>
      <c r="G177" s="372"/>
    </row>
    <row r="178" spans="2:7" ht="15.75" x14ac:dyDescent="0.25">
      <c r="B178" s="372"/>
      <c r="C178" s="372"/>
      <c r="D178" s="372"/>
      <c r="E178" s="373"/>
      <c r="F178" s="373"/>
      <c r="G178" s="372"/>
    </row>
    <row r="179" spans="2:7" ht="15.75" x14ac:dyDescent="0.25">
      <c r="B179" s="372"/>
      <c r="C179" s="372"/>
      <c r="D179" s="372"/>
      <c r="E179" s="373"/>
      <c r="F179" s="373"/>
      <c r="G179" s="372"/>
    </row>
    <row r="180" spans="2:7" ht="15.75" x14ac:dyDescent="0.25">
      <c r="B180" s="372"/>
      <c r="C180" s="372"/>
      <c r="D180" s="372"/>
      <c r="E180" s="373"/>
      <c r="F180" s="373"/>
      <c r="G180" s="372"/>
    </row>
    <row r="181" spans="2:7" ht="15.75" x14ac:dyDescent="0.25">
      <c r="B181" s="372"/>
      <c r="C181" s="372"/>
      <c r="D181" s="372"/>
      <c r="E181" s="373"/>
      <c r="F181" s="373"/>
      <c r="G181" s="372"/>
    </row>
    <row r="182" spans="2:7" ht="15.75" x14ac:dyDescent="0.25">
      <c r="B182" s="372"/>
      <c r="C182" s="372"/>
      <c r="D182" s="372"/>
      <c r="E182" s="373"/>
      <c r="F182" s="373"/>
      <c r="G182" s="372"/>
    </row>
    <row r="183" spans="2:7" ht="15.75" x14ac:dyDescent="0.25">
      <c r="B183" s="372"/>
      <c r="C183" s="372"/>
      <c r="D183" s="372"/>
      <c r="E183" s="373"/>
      <c r="F183" s="373"/>
      <c r="G183" s="372"/>
    </row>
    <row r="184" spans="2:7" ht="15.75" x14ac:dyDescent="0.25">
      <c r="B184" s="372"/>
      <c r="C184" s="372"/>
      <c r="D184" s="372"/>
      <c r="E184" s="373"/>
      <c r="F184" s="373"/>
      <c r="G184" s="372"/>
    </row>
    <row r="185" spans="2:7" ht="15.75" x14ac:dyDescent="0.25">
      <c r="B185" s="372"/>
      <c r="C185" s="372"/>
      <c r="D185" s="372"/>
      <c r="E185" s="373"/>
      <c r="F185" s="373"/>
      <c r="G185" s="372"/>
    </row>
    <row r="186" spans="2:7" x14ac:dyDescent="0.25">
      <c r="B186" s="373"/>
      <c r="C186" s="373"/>
      <c r="D186" s="373"/>
      <c r="E186" s="373"/>
      <c r="F186" s="373"/>
      <c r="G186" s="373"/>
    </row>
  </sheetData>
  <mergeCells count="21">
    <mergeCell ref="P1:S1"/>
    <mergeCell ref="P2:S2"/>
    <mergeCell ref="P3:S3"/>
    <mergeCell ref="P8:Q8"/>
    <mergeCell ref="R8:S8"/>
    <mergeCell ref="B5:S5"/>
    <mergeCell ref="N8:O8"/>
    <mergeCell ref="L8:M8"/>
    <mergeCell ref="F8:G8"/>
    <mergeCell ref="D162:F162"/>
    <mergeCell ref="H8:I8"/>
    <mergeCell ref="J8:K8"/>
    <mergeCell ref="D8:E8"/>
    <mergeCell ref="R163:S163"/>
    <mergeCell ref="D163:E163"/>
    <mergeCell ref="J163:K163"/>
    <mergeCell ref="L163:M163"/>
    <mergeCell ref="N163:O163"/>
    <mergeCell ref="P163:Q163"/>
    <mergeCell ref="F163:G163"/>
    <mergeCell ref="H163:I163"/>
  </mergeCells>
  <phoneticPr fontId="37" type="noConversion"/>
  <pageMargins left="0.7" right="0.7" top="0.75" bottom="0.75" header="0.3" footer="0.3"/>
  <pageSetup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4"/>
  <sheetViews>
    <sheetView view="pageLayout" topLeftCell="A476" zoomScale="85" zoomScaleNormal="100" zoomScalePageLayoutView="85" workbookViewId="0">
      <selection activeCell="D485" sqref="D485"/>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24" width="9.140625" style="72" customWidth="1"/>
    <col min="25" max="16384" width="9.140625" style="72"/>
  </cols>
  <sheetData>
    <row r="1" spans="1:24" ht="16.5" customHeight="1" x14ac:dyDescent="0.25">
      <c r="A1" s="475"/>
      <c r="B1" s="475"/>
      <c r="C1" s="475"/>
      <c r="D1" s="475"/>
      <c r="E1" s="475"/>
      <c r="F1" s="475"/>
      <c r="G1" s="475"/>
      <c r="H1" s="475"/>
      <c r="I1" s="475"/>
      <c r="J1" s="475"/>
      <c r="K1" s="475"/>
      <c r="L1" s="475"/>
      <c r="M1" s="475"/>
      <c r="N1" s="475"/>
      <c r="O1" s="475"/>
      <c r="P1" s="496" t="s">
        <v>439</v>
      </c>
      <c r="Q1" s="496"/>
      <c r="R1" s="496"/>
      <c r="S1" s="496"/>
      <c r="T1" s="476"/>
      <c r="U1" s="476"/>
      <c r="W1"/>
    </row>
    <row r="2" spans="1:24" ht="16.5" customHeight="1" x14ac:dyDescent="0.25">
      <c r="A2" s="475"/>
      <c r="B2" s="475"/>
      <c r="C2" s="475"/>
      <c r="D2" s="475"/>
      <c r="E2" s="475"/>
      <c r="F2" s="475"/>
      <c r="G2" s="475"/>
      <c r="H2" s="475"/>
      <c r="I2" s="475"/>
      <c r="J2" s="475"/>
      <c r="K2" s="475"/>
      <c r="L2" s="475"/>
      <c r="M2" s="475"/>
      <c r="N2" s="475"/>
      <c r="O2" s="475"/>
      <c r="P2" s="497" t="s">
        <v>440</v>
      </c>
      <c r="Q2" s="497"/>
      <c r="R2" s="497"/>
      <c r="S2" s="497"/>
      <c r="T2" s="476"/>
      <c r="U2" s="476"/>
      <c r="W2"/>
    </row>
    <row r="3" spans="1:24" ht="16.5" customHeight="1" x14ac:dyDescent="0.25">
      <c r="A3" s="475"/>
      <c r="B3" s="475"/>
      <c r="C3" s="475"/>
      <c r="D3" s="475"/>
      <c r="E3" s="475"/>
      <c r="F3" s="475"/>
      <c r="G3" s="475"/>
      <c r="H3" s="475"/>
      <c r="I3" s="475"/>
      <c r="J3" s="475"/>
      <c r="K3" s="475"/>
      <c r="L3" s="475"/>
      <c r="M3" s="475"/>
      <c r="N3" s="475"/>
      <c r="O3" s="475"/>
      <c r="P3" s="497" t="s">
        <v>441</v>
      </c>
      <c r="Q3" s="497"/>
      <c r="R3" s="497"/>
      <c r="S3" s="497"/>
      <c r="T3" s="476"/>
      <c r="U3" s="476"/>
      <c r="W3"/>
    </row>
    <row r="4" spans="1:24" ht="16.5" customHeight="1" x14ac:dyDescent="0.25">
      <c r="A4" s="477" t="s">
        <v>456</v>
      </c>
      <c r="B4" s="477"/>
      <c r="C4" s="475"/>
      <c r="D4" s="475"/>
      <c r="E4" s="475"/>
      <c r="F4" s="475"/>
      <c r="G4" s="475"/>
      <c r="H4" s="475"/>
      <c r="I4" s="475"/>
      <c r="J4" s="475"/>
      <c r="K4" s="475"/>
      <c r="L4" s="475"/>
      <c r="M4" s="475"/>
      <c r="N4" s="475"/>
      <c r="O4" s="475"/>
      <c r="P4" s="475"/>
      <c r="Q4" s="475"/>
      <c r="R4" s="475"/>
      <c r="S4" s="475"/>
      <c r="T4" s="475"/>
      <c r="U4" s="475"/>
      <c r="V4"/>
      <c r="W4"/>
    </row>
    <row r="5" spans="1:24" ht="39" customHeight="1" x14ac:dyDescent="0.25">
      <c r="A5" s="498" t="s">
        <v>1534</v>
      </c>
      <c r="B5" s="498"/>
      <c r="C5" s="498"/>
      <c r="D5" s="498"/>
      <c r="E5" s="498"/>
      <c r="F5" s="498"/>
      <c r="G5" s="498"/>
      <c r="H5" s="498"/>
      <c r="I5" s="498"/>
      <c r="J5" s="498"/>
      <c r="K5" s="499" t="s">
        <v>767</v>
      </c>
      <c r="L5" s="500"/>
      <c r="M5" s="500"/>
      <c r="N5" s="500"/>
      <c r="O5" s="500"/>
      <c r="P5" s="500"/>
      <c r="Q5" s="501"/>
      <c r="R5" s="499" t="s">
        <v>1535</v>
      </c>
      <c r="S5" s="500"/>
      <c r="T5" s="500"/>
      <c r="U5" s="501"/>
      <c r="V5" s="110"/>
      <c r="W5" s="110"/>
      <c r="X5" s="110"/>
    </row>
    <row r="6" spans="1:24" ht="130.5" customHeight="1" x14ac:dyDescent="0.25">
      <c r="A6" s="471" t="s">
        <v>1525</v>
      </c>
      <c r="B6" s="471" t="s">
        <v>457</v>
      </c>
      <c r="C6" s="471" t="s">
        <v>1536</v>
      </c>
      <c r="D6" s="471" t="s">
        <v>768</v>
      </c>
      <c r="E6" s="471" t="s">
        <v>1537</v>
      </c>
      <c r="F6" s="471" t="s">
        <v>1538</v>
      </c>
      <c r="G6" s="471" t="s">
        <v>1539</v>
      </c>
      <c r="H6" s="471" t="s">
        <v>769</v>
      </c>
      <c r="I6" s="471" t="s">
        <v>770</v>
      </c>
      <c r="J6" s="471" t="s">
        <v>1540</v>
      </c>
      <c r="K6" s="471" t="s">
        <v>1541</v>
      </c>
      <c r="L6" s="471" t="s">
        <v>1542</v>
      </c>
      <c r="M6" s="471" t="s">
        <v>1543</v>
      </c>
      <c r="N6" s="471" t="s">
        <v>1544</v>
      </c>
      <c r="O6" s="471" t="s">
        <v>1545</v>
      </c>
      <c r="P6" s="471" t="s">
        <v>1526</v>
      </c>
      <c r="Q6" s="471" t="s">
        <v>771</v>
      </c>
      <c r="R6" s="471" t="s">
        <v>1546</v>
      </c>
      <c r="S6" s="471" t="s">
        <v>1547</v>
      </c>
      <c r="T6" s="471" t="s">
        <v>1548</v>
      </c>
      <c r="U6" s="471" t="s">
        <v>1549</v>
      </c>
      <c r="V6" s="110"/>
      <c r="W6" s="110"/>
      <c r="X6" s="110"/>
    </row>
    <row r="7" spans="1:24" ht="39" customHeight="1" x14ac:dyDescent="0.25">
      <c r="A7" s="398" t="s">
        <v>1610</v>
      </c>
      <c r="B7" s="399"/>
      <c r="C7" s="398" t="s">
        <v>1625</v>
      </c>
      <c r="D7" s="400"/>
      <c r="E7" s="400"/>
      <c r="F7" s="400"/>
      <c r="G7" s="400"/>
      <c r="H7" s="400"/>
      <c r="I7" s="400"/>
      <c r="J7" s="400"/>
      <c r="K7" s="401">
        <f t="shared" ref="K7:Q7" si="0">K8+K22+K61+K110</f>
        <v>123093185</v>
      </c>
      <c r="L7" s="401">
        <f t="shared" si="0"/>
        <v>20745162.939999998</v>
      </c>
      <c r="M7" s="401">
        <f t="shared" si="0"/>
        <v>8300767.96</v>
      </c>
      <c r="N7" s="401">
        <f t="shared" si="0"/>
        <v>1994848.9</v>
      </c>
      <c r="O7" s="401">
        <f t="shared" si="0"/>
        <v>630889.06000000006</v>
      </c>
      <c r="P7" s="401">
        <f t="shared" si="0"/>
        <v>91421516.140000001</v>
      </c>
      <c r="Q7" s="401">
        <f t="shared" si="0"/>
        <v>0</v>
      </c>
      <c r="R7" s="399"/>
      <c r="S7" s="399"/>
      <c r="T7" s="399"/>
      <c r="U7" s="399"/>
      <c r="V7" s="490"/>
      <c r="W7" s="491"/>
      <c r="X7" s="491"/>
    </row>
    <row r="8" spans="1:24" ht="39" customHeight="1" x14ac:dyDescent="0.25">
      <c r="A8" s="404" t="s">
        <v>1529</v>
      </c>
      <c r="B8" s="405"/>
      <c r="C8" s="404" t="s">
        <v>1614</v>
      </c>
      <c r="D8" s="405"/>
      <c r="E8" s="405"/>
      <c r="F8" s="405"/>
      <c r="G8" s="405"/>
      <c r="H8" s="406"/>
      <c r="I8" s="405"/>
      <c r="J8" s="405"/>
      <c r="K8" s="407">
        <f t="shared" ref="K8:Q8" si="1">K9+K13</f>
        <v>13500000</v>
      </c>
      <c r="L8" s="407">
        <f t="shared" si="1"/>
        <v>1012500</v>
      </c>
      <c r="M8" s="407">
        <f t="shared" si="1"/>
        <v>1012500</v>
      </c>
      <c r="N8" s="407">
        <f t="shared" si="1"/>
        <v>0</v>
      </c>
      <c r="O8" s="407">
        <f t="shared" si="1"/>
        <v>0</v>
      </c>
      <c r="P8" s="407">
        <f t="shared" si="1"/>
        <v>11475000</v>
      </c>
      <c r="Q8" s="407">
        <f t="shared" si="1"/>
        <v>0</v>
      </c>
      <c r="R8" s="408"/>
      <c r="S8" s="408"/>
      <c r="T8" s="408"/>
      <c r="U8" s="408"/>
      <c r="V8" s="492"/>
      <c r="W8" s="493"/>
      <c r="X8" s="493"/>
    </row>
    <row r="9" spans="1:24" ht="39" customHeight="1" x14ac:dyDescent="0.25">
      <c r="A9" s="391" t="s">
        <v>1527</v>
      </c>
      <c r="B9" s="414"/>
      <c r="C9" s="415" t="s">
        <v>1615</v>
      </c>
      <c r="D9" s="414"/>
      <c r="E9" s="414"/>
      <c r="F9" s="414"/>
      <c r="G9" s="414"/>
      <c r="H9" s="414"/>
      <c r="I9" s="414"/>
      <c r="J9" s="414"/>
      <c r="K9" s="416">
        <f t="shared" ref="K9:Q9" si="2">K10+K11+K12</f>
        <v>0</v>
      </c>
      <c r="L9" s="416">
        <f t="shared" si="2"/>
        <v>0</v>
      </c>
      <c r="M9" s="416">
        <f t="shared" si="2"/>
        <v>0</v>
      </c>
      <c r="N9" s="416">
        <f t="shared" si="2"/>
        <v>0</v>
      </c>
      <c r="O9" s="416">
        <f t="shared" si="2"/>
        <v>0</v>
      </c>
      <c r="P9" s="416">
        <f t="shared" si="2"/>
        <v>0</v>
      </c>
      <c r="Q9" s="416">
        <f t="shared" si="2"/>
        <v>0</v>
      </c>
      <c r="R9" s="417"/>
      <c r="S9" s="417"/>
      <c r="T9" s="417"/>
      <c r="U9" s="418"/>
      <c r="V9" s="110"/>
      <c r="W9" s="110"/>
      <c r="X9" s="110"/>
    </row>
    <row r="10" spans="1:24" ht="39" customHeight="1" x14ac:dyDescent="0.25">
      <c r="A10" s="428" t="s">
        <v>1673</v>
      </c>
      <c r="B10" s="429"/>
      <c r="C10" s="428" t="s">
        <v>214</v>
      </c>
      <c r="D10" s="429"/>
      <c r="E10" s="429"/>
      <c r="F10" s="429"/>
      <c r="G10" s="429"/>
      <c r="H10" s="429"/>
      <c r="I10" s="429"/>
      <c r="J10" s="429"/>
      <c r="K10" s="430">
        <v>0</v>
      </c>
      <c r="L10" s="430">
        <v>0</v>
      </c>
      <c r="M10" s="430">
        <v>0</v>
      </c>
      <c r="N10" s="430">
        <v>0</v>
      </c>
      <c r="O10" s="430">
        <v>0</v>
      </c>
      <c r="P10" s="430">
        <v>0</v>
      </c>
      <c r="Q10" s="430">
        <v>0</v>
      </c>
      <c r="R10" s="431"/>
      <c r="S10" s="431"/>
      <c r="T10" s="431"/>
      <c r="U10" s="431"/>
      <c r="V10" s="110"/>
      <c r="W10" s="110"/>
      <c r="X10" s="110"/>
    </row>
    <row r="11" spans="1:24" ht="39" customHeight="1" x14ac:dyDescent="0.25">
      <c r="A11" s="428" t="s">
        <v>1530</v>
      </c>
      <c r="B11" s="429"/>
      <c r="C11" s="428" t="s">
        <v>215</v>
      </c>
      <c r="D11" s="429"/>
      <c r="E11" s="429"/>
      <c r="F11" s="429"/>
      <c r="G11" s="429"/>
      <c r="H11" s="429"/>
      <c r="I11" s="429"/>
      <c r="J11" s="429"/>
      <c r="K11" s="430">
        <v>0</v>
      </c>
      <c r="L11" s="430">
        <v>0</v>
      </c>
      <c r="M11" s="430">
        <v>0</v>
      </c>
      <c r="N11" s="430">
        <v>0</v>
      </c>
      <c r="O11" s="430">
        <v>0</v>
      </c>
      <c r="P11" s="430">
        <v>0</v>
      </c>
      <c r="Q11" s="430">
        <v>0</v>
      </c>
      <c r="R11" s="431"/>
      <c r="S11" s="431"/>
      <c r="T11" s="431"/>
      <c r="U11" s="431"/>
      <c r="V11" s="110"/>
      <c r="W11" s="110"/>
      <c r="X11" s="110"/>
    </row>
    <row r="12" spans="1:24" ht="39" customHeight="1" x14ac:dyDescent="0.25">
      <c r="A12" s="428" t="s">
        <v>1531</v>
      </c>
      <c r="B12" s="429"/>
      <c r="C12" s="428" t="s">
        <v>216</v>
      </c>
      <c r="D12" s="429"/>
      <c r="E12" s="429"/>
      <c r="F12" s="429"/>
      <c r="G12" s="429"/>
      <c r="H12" s="429"/>
      <c r="I12" s="429"/>
      <c r="J12" s="429"/>
      <c r="K12" s="430">
        <v>0</v>
      </c>
      <c r="L12" s="430">
        <v>0</v>
      </c>
      <c r="M12" s="430">
        <v>0</v>
      </c>
      <c r="N12" s="430">
        <v>0</v>
      </c>
      <c r="O12" s="430">
        <v>0</v>
      </c>
      <c r="P12" s="430">
        <v>0</v>
      </c>
      <c r="Q12" s="430">
        <v>0</v>
      </c>
      <c r="R12" s="431"/>
      <c r="S12" s="431"/>
      <c r="T12" s="431"/>
      <c r="U12" s="431"/>
      <c r="V12" s="110"/>
      <c r="W12" s="110"/>
      <c r="X12" s="110"/>
    </row>
    <row r="13" spans="1:24" ht="74.25" customHeight="1" x14ac:dyDescent="0.25">
      <c r="A13" s="391" t="s">
        <v>1528</v>
      </c>
      <c r="B13" s="414"/>
      <c r="C13" s="415" t="s">
        <v>1616</v>
      </c>
      <c r="D13" s="414"/>
      <c r="E13" s="414"/>
      <c r="F13" s="414"/>
      <c r="G13" s="414"/>
      <c r="H13" s="414"/>
      <c r="I13" s="414"/>
      <c r="J13" s="414"/>
      <c r="K13" s="416">
        <f t="shared" ref="K13:Q13" si="3">K14+K18+K19+K20+K21</f>
        <v>13500000</v>
      </c>
      <c r="L13" s="416">
        <f t="shared" si="3"/>
        <v>1012500</v>
      </c>
      <c r="M13" s="416">
        <f t="shared" si="3"/>
        <v>1012500</v>
      </c>
      <c r="N13" s="416">
        <f t="shared" si="3"/>
        <v>0</v>
      </c>
      <c r="O13" s="416">
        <f t="shared" si="3"/>
        <v>0</v>
      </c>
      <c r="P13" s="416">
        <f t="shared" si="3"/>
        <v>11475000</v>
      </c>
      <c r="Q13" s="416">
        <f t="shared" si="3"/>
        <v>0</v>
      </c>
      <c r="R13" s="417"/>
      <c r="S13" s="417"/>
      <c r="T13" s="417"/>
      <c r="U13" s="417"/>
      <c r="V13" s="110"/>
      <c r="W13" s="110"/>
      <c r="X13" s="110"/>
    </row>
    <row r="14" spans="1:24" ht="39" customHeight="1" x14ac:dyDescent="0.25">
      <c r="A14" s="428" t="s">
        <v>1674</v>
      </c>
      <c r="B14" s="429"/>
      <c r="C14" s="428" t="s">
        <v>217</v>
      </c>
      <c r="D14" s="429"/>
      <c r="E14" s="429"/>
      <c r="F14" s="429"/>
      <c r="G14" s="429"/>
      <c r="H14" s="429"/>
      <c r="I14" s="432"/>
      <c r="J14" s="429"/>
      <c r="K14" s="433">
        <f t="shared" ref="K14:Q14" si="4">K15+K16+K17</f>
        <v>13500000</v>
      </c>
      <c r="L14" s="433">
        <f t="shared" si="4"/>
        <v>1012500</v>
      </c>
      <c r="M14" s="433">
        <f t="shared" si="4"/>
        <v>1012500</v>
      </c>
      <c r="N14" s="433">
        <f t="shared" si="4"/>
        <v>0</v>
      </c>
      <c r="O14" s="433">
        <f t="shared" si="4"/>
        <v>0</v>
      </c>
      <c r="P14" s="433">
        <f t="shared" si="4"/>
        <v>11475000</v>
      </c>
      <c r="Q14" s="433">
        <f t="shared" si="4"/>
        <v>0</v>
      </c>
      <c r="R14" s="431"/>
      <c r="S14" s="431"/>
      <c r="T14" s="431"/>
      <c r="U14" s="431"/>
      <c r="V14" s="110"/>
      <c r="W14" s="110"/>
      <c r="X14" s="110"/>
    </row>
    <row r="15" spans="1:24" ht="39" customHeight="1" x14ac:dyDescent="0.25">
      <c r="A15" s="49" t="s">
        <v>1554</v>
      </c>
      <c r="B15" s="279" t="s">
        <v>458</v>
      </c>
      <c r="C15" s="23" t="s">
        <v>1188</v>
      </c>
      <c r="D15" s="11" t="s">
        <v>850</v>
      </c>
      <c r="E15" s="11" t="s">
        <v>1585</v>
      </c>
      <c r="F15" s="11" t="s">
        <v>1400</v>
      </c>
      <c r="G15" s="90" t="s">
        <v>1401</v>
      </c>
      <c r="H15" s="11" t="s">
        <v>1586</v>
      </c>
      <c r="I15" s="11" t="s">
        <v>1582</v>
      </c>
      <c r="J15" s="11"/>
      <c r="K15" s="186">
        <f>L15+M15+N15+O15+P15</f>
        <v>5000000</v>
      </c>
      <c r="L15" s="186">
        <v>375000</v>
      </c>
      <c r="M15" s="186">
        <v>375000</v>
      </c>
      <c r="N15" s="186">
        <v>0</v>
      </c>
      <c r="O15" s="186">
        <v>0</v>
      </c>
      <c r="P15" s="186">
        <v>4250000</v>
      </c>
      <c r="Q15" s="186">
        <v>0</v>
      </c>
      <c r="R15" s="187" t="s">
        <v>1330</v>
      </c>
      <c r="S15" s="188" t="s">
        <v>66</v>
      </c>
      <c r="T15" s="188" t="s">
        <v>1324</v>
      </c>
      <c r="U15" s="189">
        <v>2020</v>
      </c>
      <c r="V15" s="110"/>
      <c r="W15" s="110"/>
      <c r="X15" s="110"/>
    </row>
    <row r="16" spans="1:24" ht="39" customHeight="1" x14ac:dyDescent="0.25">
      <c r="A16" s="49" t="s">
        <v>1555</v>
      </c>
      <c r="B16" s="279" t="s">
        <v>459</v>
      </c>
      <c r="C16" s="23" t="s">
        <v>1189</v>
      </c>
      <c r="D16" s="11" t="s">
        <v>850</v>
      </c>
      <c r="E16" s="11" t="s">
        <v>1585</v>
      </c>
      <c r="F16" s="11" t="s">
        <v>1400</v>
      </c>
      <c r="G16" s="90" t="s">
        <v>1401</v>
      </c>
      <c r="H16" s="11" t="s">
        <v>1586</v>
      </c>
      <c r="I16" s="11" t="s">
        <v>1582</v>
      </c>
      <c r="J16" s="11"/>
      <c r="K16" s="186">
        <f>L16+M16+N16+O16+P16</f>
        <v>3500000</v>
      </c>
      <c r="L16" s="186">
        <v>262500</v>
      </c>
      <c r="M16" s="186">
        <v>262500</v>
      </c>
      <c r="N16" s="186">
        <v>0</v>
      </c>
      <c r="O16" s="186">
        <v>0</v>
      </c>
      <c r="P16" s="186">
        <v>2975000</v>
      </c>
      <c r="Q16" s="186">
        <v>0</v>
      </c>
      <c r="R16" s="187" t="s">
        <v>1330</v>
      </c>
      <c r="S16" s="188" t="s">
        <v>66</v>
      </c>
      <c r="T16" s="188" t="s">
        <v>1324</v>
      </c>
      <c r="U16" s="189">
        <v>2020</v>
      </c>
      <c r="V16" s="110"/>
      <c r="W16" s="110"/>
      <c r="X16" s="110"/>
    </row>
    <row r="17" spans="1:25" ht="39" customHeight="1" x14ac:dyDescent="0.25">
      <c r="A17" s="49" t="s">
        <v>1556</v>
      </c>
      <c r="B17" s="279" t="s">
        <v>460</v>
      </c>
      <c r="C17" s="23" t="s">
        <v>175</v>
      </c>
      <c r="D17" s="11" t="s">
        <v>850</v>
      </c>
      <c r="E17" s="11" t="s">
        <v>1585</v>
      </c>
      <c r="F17" s="11" t="s">
        <v>1400</v>
      </c>
      <c r="G17" s="90" t="s">
        <v>1401</v>
      </c>
      <c r="H17" s="11" t="s">
        <v>1586</v>
      </c>
      <c r="I17" s="11" t="s">
        <v>1582</v>
      </c>
      <c r="J17" s="11"/>
      <c r="K17" s="186">
        <f>L17+M17+N17+O17+P17</f>
        <v>5000000</v>
      </c>
      <c r="L17" s="190">
        <v>375000</v>
      </c>
      <c r="M17" s="190">
        <v>375000</v>
      </c>
      <c r="N17" s="190">
        <v>0</v>
      </c>
      <c r="O17" s="190">
        <v>0</v>
      </c>
      <c r="P17" s="190">
        <v>4250000</v>
      </c>
      <c r="Q17" s="186">
        <v>0</v>
      </c>
      <c r="R17" s="188" t="s">
        <v>1321</v>
      </c>
      <c r="S17" s="188" t="s">
        <v>1344</v>
      </c>
      <c r="T17" s="188" t="s">
        <v>1323</v>
      </c>
      <c r="U17" s="188">
        <v>2019</v>
      </c>
      <c r="V17" s="111"/>
      <c r="W17" s="111"/>
      <c r="X17" s="110"/>
    </row>
    <row r="18" spans="1:25" ht="55.5" customHeight="1" x14ac:dyDescent="0.25">
      <c r="A18" s="428" t="s">
        <v>1675</v>
      </c>
      <c r="B18" s="429"/>
      <c r="C18" s="428" t="s">
        <v>218</v>
      </c>
      <c r="D18" s="429"/>
      <c r="E18" s="429"/>
      <c r="F18" s="429"/>
      <c r="G18" s="429"/>
      <c r="H18" s="429"/>
      <c r="I18" s="429"/>
      <c r="J18" s="429"/>
      <c r="K18" s="430">
        <v>0</v>
      </c>
      <c r="L18" s="430">
        <v>0</v>
      </c>
      <c r="M18" s="430">
        <v>0</v>
      </c>
      <c r="N18" s="430">
        <v>0</v>
      </c>
      <c r="O18" s="430">
        <v>0</v>
      </c>
      <c r="P18" s="430">
        <v>0</v>
      </c>
      <c r="Q18" s="430">
        <v>0</v>
      </c>
      <c r="R18" s="431"/>
      <c r="S18" s="431"/>
      <c r="T18" s="431"/>
      <c r="U18" s="431"/>
      <c r="V18" s="110"/>
      <c r="W18" s="110"/>
      <c r="X18" s="110"/>
    </row>
    <row r="19" spans="1:25" ht="39" customHeight="1" x14ac:dyDescent="0.25">
      <c r="A19" s="428" t="s">
        <v>1676</v>
      </c>
      <c r="B19" s="429"/>
      <c r="C19" s="428" t="s">
        <v>219</v>
      </c>
      <c r="D19" s="429"/>
      <c r="E19" s="429"/>
      <c r="F19" s="429"/>
      <c r="G19" s="429"/>
      <c r="H19" s="429"/>
      <c r="I19" s="429"/>
      <c r="J19" s="429"/>
      <c r="K19" s="430">
        <v>0</v>
      </c>
      <c r="L19" s="430">
        <v>0</v>
      </c>
      <c r="M19" s="430">
        <v>0</v>
      </c>
      <c r="N19" s="430">
        <v>0</v>
      </c>
      <c r="O19" s="430">
        <v>0</v>
      </c>
      <c r="P19" s="430">
        <v>0</v>
      </c>
      <c r="Q19" s="430">
        <v>0</v>
      </c>
      <c r="R19" s="431"/>
      <c r="S19" s="431"/>
      <c r="T19" s="431"/>
      <c r="U19" s="431"/>
      <c r="V19" s="110"/>
      <c r="W19" s="110"/>
      <c r="X19" s="110"/>
    </row>
    <row r="20" spans="1:25" ht="39" customHeight="1" x14ac:dyDescent="0.25">
      <c r="A20" s="428" t="s">
        <v>1677</v>
      </c>
      <c r="B20" s="429"/>
      <c r="C20" s="428" t="s">
        <v>220</v>
      </c>
      <c r="D20" s="429"/>
      <c r="E20" s="429"/>
      <c r="F20" s="429"/>
      <c r="G20" s="429"/>
      <c r="H20" s="429"/>
      <c r="I20" s="429"/>
      <c r="J20" s="429"/>
      <c r="K20" s="430">
        <v>0</v>
      </c>
      <c r="L20" s="430">
        <v>0</v>
      </c>
      <c r="M20" s="430">
        <v>0</v>
      </c>
      <c r="N20" s="430">
        <v>0</v>
      </c>
      <c r="O20" s="430">
        <v>0</v>
      </c>
      <c r="P20" s="430">
        <v>0</v>
      </c>
      <c r="Q20" s="430">
        <v>0</v>
      </c>
      <c r="R20" s="431"/>
      <c r="S20" s="431"/>
      <c r="T20" s="431"/>
      <c r="U20" s="431"/>
      <c r="V20" s="110"/>
      <c r="W20" s="110"/>
      <c r="X20" s="110"/>
    </row>
    <row r="21" spans="1:25" ht="39" customHeight="1" x14ac:dyDescent="0.25">
      <c r="A21" s="428" t="s">
        <v>1678</v>
      </c>
      <c r="B21" s="429"/>
      <c r="C21" s="428" t="s">
        <v>221</v>
      </c>
      <c r="D21" s="429"/>
      <c r="E21" s="429"/>
      <c r="F21" s="429"/>
      <c r="G21" s="429"/>
      <c r="H21" s="429"/>
      <c r="I21" s="429"/>
      <c r="J21" s="429"/>
      <c r="K21" s="430">
        <v>0</v>
      </c>
      <c r="L21" s="430">
        <v>0</v>
      </c>
      <c r="M21" s="430">
        <v>0</v>
      </c>
      <c r="N21" s="430">
        <v>0</v>
      </c>
      <c r="O21" s="430">
        <v>0</v>
      </c>
      <c r="P21" s="430">
        <v>0</v>
      </c>
      <c r="Q21" s="430">
        <v>0</v>
      </c>
      <c r="R21" s="431"/>
      <c r="S21" s="431"/>
      <c r="T21" s="431"/>
      <c r="U21" s="431"/>
      <c r="V21" s="110"/>
      <c r="W21" s="110"/>
      <c r="X21" s="110"/>
    </row>
    <row r="22" spans="1:25" ht="59.25" customHeight="1" x14ac:dyDescent="0.25">
      <c r="A22" s="404" t="s">
        <v>1611</v>
      </c>
      <c r="B22" s="409"/>
      <c r="C22" s="404" t="s">
        <v>1552</v>
      </c>
      <c r="D22" s="410" t="s">
        <v>1550</v>
      </c>
      <c r="E22" s="410" t="s">
        <v>1550</v>
      </c>
      <c r="F22" s="410" t="s">
        <v>1550</v>
      </c>
      <c r="G22" s="410" t="s">
        <v>1550</v>
      </c>
      <c r="H22" s="410" t="s">
        <v>1550</v>
      </c>
      <c r="I22" s="410" t="s">
        <v>1550</v>
      </c>
      <c r="J22" s="410" t="s">
        <v>1550</v>
      </c>
      <c r="K22" s="407">
        <f t="shared" ref="K22:Q22" si="5">K23+K36</f>
        <v>39298697.840000004</v>
      </c>
      <c r="L22" s="407">
        <f t="shared" si="5"/>
        <v>4441821.46</v>
      </c>
      <c r="M22" s="407">
        <f t="shared" si="5"/>
        <v>4015361.96</v>
      </c>
      <c r="N22" s="407">
        <f t="shared" si="5"/>
        <v>1980000</v>
      </c>
      <c r="O22" s="407">
        <f t="shared" si="5"/>
        <v>399635</v>
      </c>
      <c r="P22" s="407">
        <f t="shared" si="5"/>
        <v>28461879.420000002</v>
      </c>
      <c r="Q22" s="407">
        <f t="shared" si="5"/>
        <v>0</v>
      </c>
      <c r="R22" s="409"/>
      <c r="S22" s="409"/>
      <c r="T22" s="409"/>
      <c r="U22" s="409"/>
      <c r="V22" s="110"/>
      <c r="W22" s="110"/>
      <c r="X22" s="110"/>
    </row>
    <row r="23" spans="1:25" ht="39" customHeight="1" x14ac:dyDescent="0.25">
      <c r="A23" s="391" t="s">
        <v>940</v>
      </c>
      <c r="B23" s="419"/>
      <c r="C23" s="391" t="s">
        <v>1553</v>
      </c>
      <c r="D23" s="392" t="s">
        <v>1550</v>
      </c>
      <c r="E23" s="392" t="s">
        <v>1550</v>
      </c>
      <c r="F23" s="392" t="s">
        <v>1550</v>
      </c>
      <c r="G23" s="392" t="s">
        <v>1550</v>
      </c>
      <c r="H23" s="392" t="s">
        <v>1550</v>
      </c>
      <c r="I23" s="392" t="s">
        <v>1550</v>
      </c>
      <c r="J23" s="392" t="s">
        <v>1550</v>
      </c>
      <c r="K23" s="420">
        <f t="shared" ref="K23:Q23" si="6">K24+K35</f>
        <v>5710045.8099999996</v>
      </c>
      <c r="L23" s="420">
        <f t="shared" si="6"/>
        <v>634195.66</v>
      </c>
      <c r="M23" s="420">
        <f t="shared" si="6"/>
        <v>1698328.65</v>
      </c>
      <c r="N23" s="420">
        <f t="shared" si="6"/>
        <v>0</v>
      </c>
      <c r="O23" s="420">
        <f t="shared" si="6"/>
        <v>0</v>
      </c>
      <c r="P23" s="420">
        <f t="shared" si="6"/>
        <v>3377521.5</v>
      </c>
      <c r="Q23" s="421">
        <f t="shared" si="6"/>
        <v>0</v>
      </c>
      <c r="R23" s="419"/>
      <c r="S23" s="419"/>
      <c r="T23" s="419"/>
      <c r="U23" s="419"/>
      <c r="V23" s="110"/>
      <c r="W23" s="110"/>
      <c r="X23" s="110"/>
    </row>
    <row r="24" spans="1:25" ht="39" customHeight="1" x14ac:dyDescent="0.25">
      <c r="A24" s="434" t="s">
        <v>941</v>
      </c>
      <c r="B24" s="435"/>
      <c r="C24" s="434" t="s">
        <v>1593</v>
      </c>
      <c r="D24" s="436" t="s">
        <v>1550</v>
      </c>
      <c r="E24" s="436" t="s">
        <v>1550</v>
      </c>
      <c r="F24" s="436" t="s">
        <v>1550</v>
      </c>
      <c r="G24" s="436" t="s">
        <v>1550</v>
      </c>
      <c r="H24" s="436" t="s">
        <v>1550</v>
      </c>
      <c r="I24" s="436" t="s">
        <v>1550</v>
      </c>
      <c r="J24" s="436" t="s">
        <v>1550</v>
      </c>
      <c r="K24" s="433">
        <f t="shared" ref="K24:Q24" si="7">SUM(K25:K34)</f>
        <v>5710045.8099999996</v>
      </c>
      <c r="L24" s="433">
        <f t="shared" si="7"/>
        <v>634195.66</v>
      </c>
      <c r="M24" s="433">
        <f t="shared" si="7"/>
        <v>1698328.65</v>
      </c>
      <c r="N24" s="433">
        <f t="shared" si="7"/>
        <v>0</v>
      </c>
      <c r="O24" s="433">
        <f t="shared" si="7"/>
        <v>0</v>
      </c>
      <c r="P24" s="433">
        <f t="shared" si="7"/>
        <v>3377521.5</v>
      </c>
      <c r="Q24" s="433">
        <f t="shared" si="7"/>
        <v>0</v>
      </c>
      <c r="R24" s="435"/>
      <c r="S24" s="435"/>
      <c r="T24" s="435"/>
      <c r="U24" s="435"/>
      <c r="V24" s="110"/>
      <c r="W24" s="110"/>
      <c r="X24" s="110"/>
    </row>
    <row r="25" spans="1:25" ht="39" customHeight="1" x14ac:dyDescent="0.25">
      <c r="A25" s="39" t="s">
        <v>942</v>
      </c>
      <c r="B25" s="279" t="s">
        <v>461</v>
      </c>
      <c r="C25" s="39" t="s">
        <v>1557</v>
      </c>
      <c r="D25" s="90" t="s">
        <v>1580</v>
      </c>
      <c r="E25" s="90" t="s">
        <v>1581</v>
      </c>
      <c r="F25" s="90" t="s">
        <v>1456</v>
      </c>
      <c r="G25" s="14" t="s">
        <v>816</v>
      </c>
      <c r="H25" s="90" t="s">
        <v>816</v>
      </c>
      <c r="I25" s="90"/>
      <c r="J25" s="90"/>
      <c r="K25" s="190">
        <f>L25+M25+N25+O25+P25</f>
        <v>260658</v>
      </c>
      <c r="L25" s="190">
        <v>28962</v>
      </c>
      <c r="M25" s="190">
        <v>231696</v>
      </c>
      <c r="N25" s="190">
        <v>0</v>
      </c>
      <c r="O25" s="190">
        <v>0</v>
      </c>
      <c r="P25" s="190">
        <v>0</v>
      </c>
      <c r="Q25" s="190">
        <v>0</v>
      </c>
      <c r="R25" s="187" t="s">
        <v>106</v>
      </c>
      <c r="S25" s="192" t="s">
        <v>106</v>
      </c>
      <c r="T25" s="192" t="s">
        <v>106</v>
      </c>
      <c r="U25" s="193">
        <v>2015</v>
      </c>
      <c r="V25" s="111"/>
      <c r="W25" s="111"/>
      <c r="X25" s="111"/>
      <c r="Y25" s="73"/>
    </row>
    <row r="26" spans="1:25" ht="39" customHeight="1" x14ac:dyDescent="0.25">
      <c r="A26" s="49" t="s">
        <v>943</v>
      </c>
      <c r="B26" s="279" t="s">
        <v>462</v>
      </c>
      <c r="C26" s="49" t="s">
        <v>111</v>
      </c>
      <c r="D26" s="14" t="s">
        <v>1584</v>
      </c>
      <c r="E26" s="14" t="s">
        <v>1585</v>
      </c>
      <c r="F26" s="14" t="s">
        <v>1436</v>
      </c>
      <c r="G26" s="14" t="s">
        <v>1207</v>
      </c>
      <c r="H26" s="21" t="s">
        <v>1586</v>
      </c>
      <c r="I26" s="14" t="s">
        <v>1582</v>
      </c>
      <c r="J26" s="14"/>
      <c r="K26" s="190">
        <f t="shared" ref="K26:K34" si="8">L26+M26+N26+O26+P26</f>
        <v>1000000</v>
      </c>
      <c r="L26" s="190">
        <v>75000</v>
      </c>
      <c r="M26" s="190">
        <v>75000</v>
      </c>
      <c r="N26" s="190">
        <v>0</v>
      </c>
      <c r="O26" s="190">
        <v>0</v>
      </c>
      <c r="P26" s="190">
        <v>850000</v>
      </c>
      <c r="Q26" s="190">
        <v>0</v>
      </c>
      <c r="R26" s="192" t="s">
        <v>1318</v>
      </c>
      <c r="S26" s="192" t="s">
        <v>1326</v>
      </c>
      <c r="T26" s="192" t="s">
        <v>1349</v>
      </c>
      <c r="U26" s="187">
        <v>2023</v>
      </c>
      <c r="V26" s="111"/>
      <c r="W26" s="111"/>
      <c r="X26" s="110"/>
    </row>
    <row r="27" spans="1:25" ht="39" customHeight="1" x14ac:dyDescent="0.25">
      <c r="A27" s="49" t="s">
        <v>944</v>
      </c>
      <c r="B27" s="279" t="s">
        <v>463</v>
      </c>
      <c r="C27" s="49" t="s">
        <v>356</v>
      </c>
      <c r="D27" s="14" t="s">
        <v>1587</v>
      </c>
      <c r="E27" s="14" t="s">
        <v>1588</v>
      </c>
      <c r="F27" s="14" t="s">
        <v>1454</v>
      </c>
      <c r="G27" s="14" t="s">
        <v>1405</v>
      </c>
      <c r="H27" s="21" t="s">
        <v>1586</v>
      </c>
      <c r="I27" s="14" t="s">
        <v>1582</v>
      </c>
      <c r="J27" s="14"/>
      <c r="K27" s="190">
        <f t="shared" si="8"/>
        <v>693015.2</v>
      </c>
      <c r="L27" s="190">
        <v>103952.32000000001</v>
      </c>
      <c r="M27" s="190">
        <v>318658.65000000002</v>
      </c>
      <c r="N27" s="190">
        <v>0</v>
      </c>
      <c r="O27" s="190">
        <v>0</v>
      </c>
      <c r="P27" s="190">
        <v>270404.23</v>
      </c>
      <c r="Q27" s="190">
        <v>0</v>
      </c>
      <c r="R27" s="192" t="s">
        <v>1317</v>
      </c>
      <c r="S27" s="192" t="s">
        <v>1319</v>
      </c>
      <c r="T27" s="192" t="s">
        <v>1318</v>
      </c>
      <c r="U27" s="193">
        <v>2017</v>
      </c>
      <c r="V27" s="110"/>
      <c r="W27" s="110"/>
      <c r="X27" s="110"/>
    </row>
    <row r="28" spans="1:25" ht="39" customHeight="1" x14ac:dyDescent="0.25">
      <c r="A28" s="49" t="s">
        <v>945</v>
      </c>
      <c r="B28" s="279" t="s">
        <v>464</v>
      </c>
      <c r="C28" s="39" t="s">
        <v>1558</v>
      </c>
      <c r="D28" s="90" t="s">
        <v>1580</v>
      </c>
      <c r="E28" s="90" t="s">
        <v>1585</v>
      </c>
      <c r="F28" s="90" t="s">
        <v>1456</v>
      </c>
      <c r="G28" s="14" t="s">
        <v>1207</v>
      </c>
      <c r="H28" s="194" t="s">
        <v>1586</v>
      </c>
      <c r="I28" s="90" t="s">
        <v>1582</v>
      </c>
      <c r="J28" s="90"/>
      <c r="K28" s="190">
        <f t="shared" si="8"/>
        <v>868860</v>
      </c>
      <c r="L28" s="190">
        <v>65165</v>
      </c>
      <c r="M28" s="190">
        <v>65164</v>
      </c>
      <c r="N28" s="190">
        <v>0</v>
      </c>
      <c r="O28" s="190">
        <v>0</v>
      </c>
      <c r="P28" s="190">
        <v>738531</v>
      </c>
      <c r="Q28" s="190">
        <v>0</v>
      </c>
      <c r="R28" s="187" t="s">
        <v>1320</v>
      </c>
      <c r="S28" s="480" t="s">
        <v>38</v>
      </c>
      <c r="T28" s="480" t="s">
        <v>1348</v>
      </c>
      <c r="U28" s="187">
        <v>2021</v>
      </c>
      <c r="V28" s="111"/>
      <c r="W28" s="111"/>
      <c r="X28" s="111"/>
      <c r="Y28" s="73"/>
    </row>
    <row r="29" spans="1:25" ht="58.5" customHeight="1" x14ac:dyDescent="0.25">
      <c r="A29" s="49" t="s">
        <v>946</v>
      </c>
      <c r="B29" s="279" t="s">
        <v>465</v>
      </c>
      <c r="C29" s="39" t="s">
        <v>348</v>
      </c>
      <c r="D29" s="90" t="s">
        <v>1580</v>
      </c>
      <c r="E29" s="90" t="s">
        <v>1588</v>
      </c>
      <c r="F29" s="90" t="s">
        <v>1456</v>
      </c>
      <c r="G29" s="90" t="s">
        <v>1405</v>
      </c>
      <c r="H29" s="194" t="s">
        <v>1586</v>
      </c>
      <c r="I29" s="90" t="s">
        <v>1582</v>
      </c>
      <c r="J29" s="90"/>
      <c r="K29" s="190">
        <f t="shared" si="8"/>
        <v>197454.6</v>
      </c>
      <c r="L29" s="190">
        <v>29618.19</v>
      </c>
      <c r="M29" s="190">
        <v>0</v>
      </c>
      <c r="N29" s="190">
        <v>0</v>
      </c>
      <c r="O29" s="190">
        <v>0</v>
      </c>
      <c r="P29" s="190">
        <v>167836.41</v>
      </c>
      <c r="Q29" s="190">
        <v>0</v>
      </c>
      <c r="R29" s="195" t="s">
        <v>1342</v>
      </c>
      <c r="S29" s="195" t="s">
        <v>1343</v>
      </c>
      <c r="T29" s="195" t="s">
        <v>1322</v>
      </c>
      <c r="U29" s="196">
        <v>2019</v>
      </c>
      <c r="V29" s="110"/>
      <c r="W29" s="110"/>
      <c r="X29" s="110"/>
    </row>
    <row r="30" spans="1:25" ht="39" customHeight="1" x14ac:dyDescent="0.25">
      <c r="A30" s="49" t="s">
        <v>947</v>
      </c>
      <c r="B30" s="279" t="s">
        <v>466</v>
      </c>
      <c r="C30" s="68" t="s">
        <v>357</v>
      </c>
      <c r="D30" s="11" t="s">
        <v>1589</v>
      </c>
      <c r="E30" s="11" t="s">
        <v>1588</v>
      </c>
      <c r="F30" s="11" t="s">
        <v>1441</v>
      </c>
      <c r="G30" s="90" t="s">
        <v>1405</v>
      </c>
      <c r="H30" s="22" t="s">
        <v>1586</v>
      </c>
      <c r="I30" s="11" t="s">
        <v>1582</v>
      </c>
      <c r="J30" s="11"/>
      <c r="K30" s="190">
        <f t="shared" si="8"/>
        <v>269854.62</v>
      </c>
      <c r="L30" s="190">
        <v>40478.19</v>
      </c>
      <c r="M30" s="190">
        <v>0</v>
      </c>
      <c r="N30" s="190">
        <v>0</v>
      </c>
      <c r="O30" s="190">
        <v>0</v>
      </c>
      <c r="P30" s="190">
        <v>229376.43</v>
      </c>
      <c r="Q30" s="190">
        <v>0</v>
      </c>
      <c r="R30" s="187" t="s">
        <v>1317</v>
      </c>
      <c r="S30" s="188" t="s">
        <v>1320</v>
      </c>
      <c r="T30" s="188" t="s">
        <v>1318</v>
      </c>
      <c r="U30" s="188">
        <v>2020</v>
      </c>
      <c r="V30" s="110"/>
      <c r="W30" s="110"/>
      <c r="X30" s="110"/>
    </row>
    <row r="31" spans="1:25" ht="39" customHeight="1" x14ac:dyDescent="0.25">
      <c r="A31" s="49" t="s">
        <v>948</v>
      </c>
      <c r="B31" s="279" t="s">
        <v>467</v>
      </c>
      <c r="C31" s="39" t="s">
        <v>1559</v>
      </c>
      <c r="D31" s="90" t="s">
        <v>1584</v>
      </c>
      <c r="E31" s="90" t="s">
        <v>1585</v>
      </c>
      <c r="F31" s="14" t="s">
        <v>1436</v>
      </c>
      <c r="G31" s="14" t="s">
        <v>1207</v>
      </c>
      <c r="H31" s="194" t="s">
        <v>1586</v>
      </c>
      <c r="I31" s="90" t="s">
        <v>1582</v>
      </c>
      <c r="J31" s="90"/>
      <c r="K31" s="190">
        <f t="shared" si="8"/>
        <v>695090</v>
      </c>
      <c r="L31" s="190">
        <v>52134</v>
      </c>
      <c r="M31" s="190">
        <v>52131</v>
      </c>
      <c r="N31" s="190">
        <v>0</v>
      </c>
      <c r="O31" s="190">
        <v>0</v>
      </c>
      <c r="P31" s="190">
        <v>590825</v>
      </c>
      <c r="Q31" s="190">
        <v>0</v>
      </c>
      <c r="R31" s="195" t="s">
        <v>1318</v>
      </c>
      <c r="S31" s="192" t="s">
        <v>38</v>
      </c>
      <c r="T31" s="192" t="s">
        <v>1346</v>
      </c>
      <c r="U31" s="187">
        <v>2023</v>
      </c>
      <c r="V31" s="111"/>
      <c r="W31" s="111"/>
      <c r="X31" s="110"/>
    </row>
    <row r="32" spans="1:25" ht="39" customHeight="1" x14ac:dyDescent="0.25">
      <c r="A32" s="49" t="s">
        <v>949</v>
      </c>
      <c r="B32" s="279" t="s">
        <v>468</v>
      </c>
      <c r="C32" s="39" t="s">
        <v>1560</v>
      </c>
      <c r="D32" s="90" t="s">
        <v>1584</v>
      </c>
      <c r="E32" s="90" t="s">
        <v>1588</v>
      </c>
      <c r="F32" s="90" t="s">
        <v>1436</v>
      </c>
      <c r="G32" s="90" t="s">
        <v>1405</v>
      </c>
      <c r="H32" s="194" t="s">
        <v>1586</v>
      </c>
      <c r="I32" s="90" t="s">
        <v>1582</v>
      </c>
      <c r="J32" s="90"/>
      <c r="K32" s="190">
        <f t="shared" si="8"/>
        <v>85622</v>
      </c>
      <c r="L32" s="190">
        <v>12843</v>
      </c>
      <c r="M32" s="190">
        <v>0</v>
      </c>
      <c r="N32" s="190">
        <v>0</v>
      </c>
      <c r="O32" s="190">
        <v>0</v>
      </c>
      <c r="P32" s="190">
        <v>72779</v>
      </c>
      <c r="Q32" s="190">
        <v>0</v>
      </c>
      <c r="R32" s="195" t="s">
        <v>1342</v>
      </c>
      <c r="S32" s="195" t="s">
        <v>1319</v>
      </c>
      <c r="T32" s="195" t="s">
        <v>1321</v>
      </c>
      <c r="U32" s="195">
        <v>2018</v>
      </c>
      <c r="V32" s="110"/>
      <c r="W32" s="110"/>
      <c r="X32" s="110"/>
    </row>
    <row r="33" spans="1:26" ht="39" customHeight="1" x14ac:dyDescent="0.25">
      <c r="A33" s="49" t="s">
        <v>950</v>
      </c>
      <c r="B33" s="279" t="s">
        <v>469</v>
      </c>
      <c r="C33" s="39" t="s">
        <v>1561</v>
      </c>
      <c r="D33" s="90" t="s">
        <v>1584</v>
      </c>
      <c r="E33" s="90" t="s">
        <v>1588</v>
      </c>
      <c r="F33" s="90" t="s">
        <v>1436</v>
      </c>
      <c r="G33" s="90" t="s">
        <v>1405</v>
      </c>
      <c r="H33" s="194" t="s">
        <v>1586</v>
      </c>
      <c r="I33" s="90" t="s">
        <v>1582</v>
      </c>
      <c r="J33" s="90"/>
      <c r="K33" s="190">
        <f t="shared" si="8"/>
        <v>621358</v>
      </c>
      <c r="L33" s="190">
        <v>58042.96</v>
      </c>
      <c r="M33" s="190">
        <v>310679</v>
      </c>
      <c r="N33" s="190">
        <v>0</v>
      </c>
      <c r="O33" s="190">
        <v>0</v>
      </c>
      <c r="P33" s="190">
        <v>252636.04</v>
      </c>
      <c r="Q33" s="190">
        <v>0</v>
      </c>
      <c r="R33" s="195" t="s">
        <v>1342</v>
      </c>
      <c r="S33" s="195" t="s">
        <v>1318</v>
      </c>
      <c r="T33" s="195" t="s">
        <v>1321</v>
      </c>
      <c r="U33" s="195">
        <v>2018</v>
      </c>
      <c r="V33" s="110"/>
      <c r="W33" s="110"/>
      <c r="X33" s="110"/>
    </row>
    <row r="34" spans="1:26" ht="39" customHeight="1" x14ac:dyDescent="0.25">
      <c r="A34" s="49" t="s">
        <v>951</v>
      </c>
      <c r="B34" s="279" t="s">
        <v>470</v>
      </c>
      <c r="C34" s="49" t="s">
        <v>1562</v>
      </c>
      <c r="D34" s="14" t="s">
        <v>1443</v>
      </c>
      <c r="E34" s="14" t="s">
        <v>1588</v>
      </c>
      <c r="F34" s="14" t="s">
        <v>1455</v>
      </c>
      <c r="G34" s="14" t="s">
        <v>1405</v>
      </c>
      <c r="H34" s="21" t="s">
        <v>1586</v>
      </c>
      <c r="I34" s="14" t="s">
        <v>1582</v>
      </c>
      <c r="J34" s="14"/>
      <c r="K34" s="190">
        <f t="shared" si="8"/>
        <v>1018133.39</v>
      </c>
      <c r="L34" s="190">
        <v>168000</v>
      </c>
      <c r="M34" s="190">
        <v>645000</v>
      </c>
      <c r="N34" s="190">
        <v>0</v>
      </c>
      <c r="O34" s="190">
        <v>0</v>
      </c>
      <c r="P34" s="190">
        <v>205133.39</v>
      </c>
      <c r="Q34" s="190">
        <v>0</v>
      </c>
      <c r="R34" s="192" t="s">
        <v>1317</v>
      </c>
      <c r="S34" s="192" t="s">
        <v>1320</v>
      </c>
      <c r="T34" s="192" t="s">
        <v>1319</v>
      </c>
      <c r="U34" s="187">
        <v>2018</v>
      </c>
      <c r="V34" s="110"/>
      <c r="W34" s="110"/>
      <c r="X34" s="110"/>
    </row>
    <row r="35" spans="1:26" ht="39" customHeight="1" x14ac:dyDescent="0.25">
      <c r="A35" s="434" t="s">
        <v>954</v>
      </c>
      <c r="B35" s="436"/>
      <c r="C35" s="434" t="s">
        <v>1595</v>
      </c>
      <c r="D35" s="436"/>
      <c r="E35" s="436" t="s">
        <v>1550</v>
      </c>
      <c r="F35" s="436" t="s">
        <v>1550</v>
      </c>
      <c r="G35" s="436" t="s">
        <v>1550</v>
      </c>
      <c r="H35" s="436" t="s">
        <v>1550</v>
      </c>
      <c r="I35" s="436" t="s">
        <v>1550</v>
      </c>
      <c r="J35" s="436" t="s">
        <v>1550</v>
      </c>
      <c r="K35" s="430">
        <v>0</v>
      </c>
      <c r="L35" s="430">
        <v>0</v>
      </c>
      <c r="M35" s="430">
        <v>0</v>
      </c>
      <c r="N35" s="430">
        <v>0</v>
      </c>
      <c r="O35" s="430">
        <v>0</v>
      </c>
      <c r="P35" s="430">
        <v>0</v>
      </c>
      <c r="Q35" s="430">
        <v>0</v>
      </c>
      <c r="R35" s="435"/>
      <c r="S35" s="435"/>
      <c r="T35" s="435"/>
      <c r="U35" s="435"/>
      <c r="V35" s="110"/>
      <c r="W35" s="110"/>
      <c r="X35" s="110"/>
    </row>
    <row r="36" spans="1:26" ht="60.75" customHeight="1" x14ac:dyDescent="0.25">
      <c r="A36" s="391" t="s">
        <v>955</v>
      </c>
      <c r="B36" s="392"/>
      <c r="C36" s="391" t="s">
        <v>1532</v>
      </c>
      <c r="D36" s="392" t="s">
        <v>1550</v>
      </c>
      <c r="E36" s="392" t="s">
        <v>1550</v>
      </c>
      <c r="F36" s="392"/>
      <c r="G36" s="392"/>
      <c r="H36" s="422"/>
      <c r="I36" s="392" t="s">
        <v>1550</v>
      </c>
      <c r="J36" s="392" t="s">
        <v>1550</v>
      </c>
      <c r="K36" s="423">
        <f t="shared" ref="K36:Q36" si="9">K37+K59+K60</f>
        <v>33588652.030000001</v>
      </c>
      <c r="L36" s="423">
        <f t="shared" si="9"/>
        <v>3807625.8000000003</v>
      </c>
      <c r="M36" s="423">
        <f t="shared" si="9"/>
        <v>2317033.31</v>
      </c>
      <c r="N36" s="479">
        <f t="shared" si="9"/>
        <v>1980000</v>
      </c>
      <c r="O36" s="479">
        <f t="shared" si="9"/>
        <v>399635</v>
      </c>
      <c r="P36" s="423">
        <f t="shared" si="9"/>
        <v>25084357.920000002</v>
      </c>
      <c r="Q36" s="423">
        <f t="shared" si="9"/>
        <v>0</v>
      </c>
      <c r="R36" s="419"/>
      <c r="S36" s="419"/>
      <c r="T36" s="419"/>
      <c r="U36" s="419"/>
      <c r="V36" s="110"/>
      <c r="W36" s="110"/>
      <c r="X36" s="110"/>
    </row>
    <row r="37" spans="1:26" ht="39" customHeight="1" x14ac:dyDescent="0.25">
      <c r="A37" s="434" t="s">
        <v>956</v>
      </c>
      <c r="B37" s="436"/>
      <c r="C37" s="434" t="s">
        <v>1596</v>
      </c>
      <c r="D37" s="436" t="s">
        <v>1550</v>
      </c>
      <c r="E37" s="436" t="s">
        <v>1550</v>
      </c>
      <c r="F37" s="436"/>
      <c r="G37" s="436"/>
      <c r="H37" s="437"/>
      <c r="I37" s="436" t="s">
        <v>1550</v>
      </c>
      <c r="J37" s="436" t="s">
        <v>1550</v>
      </c>
      <c r="K37" s="433">
        <f>SUM(K38:K58)</f>
        <v>33588652.030000001</v>
      </c>
      <c r="L37" s="433">
        <f t="shared" ref="L37:P37" si="10">SUM(L38:L58)</f>
        <v>3807625.8000000003</v>
      </c>
      <c r="M37" s="433">
        <f t="shared" si="10"/>
        <v>2317033.31</v>
      </c>
      <c r="N37" s="433">
        <f t="shared" si="10"/>
        <v>1980000</v>
      </c>
      <c r="O37" s="433">
        <f t="shared" si="10"/>
        <v>399635</v>
      </c>
      <c r="P37" s="433">
        <f t="shared" si="10"/>
        <v>25084357.920000002</v>
      </c>
      <c r="Q37" s="433">
        <f t="shared" ref="Q37" si="11">SUM(Q38:Q57)</f>
        <v>0</v>
      </c>
      <c r="R37" s="435"/>
      <c r="S37" s="435"/>
      <c r="T37" s="435"/>
      <c r="U37" s="435"/>
      <c r="V37" s="110"/>
      <c r="W37" s="110"/>
      <c r="X37" s="110"/>
    </row>
    <row r="38" spans="1:26" ht="39" customHeight="1" x14ac:dyDescent="0.25">
      <c r="A38" s="49" t="s">
        <v>964</v>
      </c>
      <c r="B38" s="279" t="s">
        <v>471</v>
      </c>
      <c r="C38" s="39" t="s">
        <v>1563</v>
      </c>
      <c r="D38" s="90" t="s">
        <v>1590</v>
      </c>
      <c r="E38" s="90" t="s">
        <v>1585</v>
      </c>
      <c r="F38" s="90" t="s">
        <v>1446</v>
      </c>
      <c r="G38" s="90" t="s">
        <v>1207</v>
      </c>
      <c r="H38" s="194" t="s">
        <v>1586</v>
      </c>
      <c r="I38" s="90" t="s">
        <v>1582</v>
      </c>
      <c r="J38" s="90"/>
      <c r="K38" s="199">
        <f>L38+M38+N38+O38+P38</f>
        <v>1110014.8700000001</v>
      </c>
      <c r="L38" s="199">
        <v>55500.75</v>
      </c>
      <c r="M38" s="199">
        <v>111001.49</v>
      </c>
      <c r="N38" s="200">
        <v>0</v>
      </c>
      <c r="O38" s="200">
        <v>0</v>
      </c>
      <c r="P38" s="199">
        <v>943512.63</v>
      </c>
      <c r="Q38" s="200">
        <v>0</v>
      </c>
      <c r="R38" s="195" t="s">
        <v>807</v>
      </c>
      <c r="S38" s="195" t="s">
        <v>803</v>
      </c>
      <c r="T38" s="195" t="s">
        <v>1320</v>
      </c>
      <c r="U38" s="195">
        <v>2018</v>
      </c>
      <c r="V38" s="110"/>
      <c r="W38" s="110"/>
      <c r="X38" s="110"/>
    </row>
    <row r="39" spans="1:26" ht="39" customHeight="1" x14ac:dyDescent="0.25">
      <c r="A39" s="49" t="s">
        <v>965</v>
      </c>
      <c r="B39" s="279" t="s">
        <v>1839</v>
      </c>
      <c r="C39" s="39" t="s">
        <v>1234</v>
      </c>
      <c r="D39" s="90" t="s">
        <v>1590</v>
      </c>
      <c r="E39" s="90" t="s">
        <v>1585</v>
      </c>
      <c r="F39" s="90" t="s">
        <v>1446</v>
      </c>
      <c r="G39" s="90" t="s">
        <v>1207</v>
      </c>
      <c r="H39" s="194" t="s">
        <v>1586</v>
      </c>
      <c r="I39" s="90" t="s">
        <v>858</v>
      </c>
      <c r="J39" s="90"/>
      <c r="K39" s="199">
        <f t="shared" ref="K39:K57" si="12">L39+M39+N39+O39+P39</f>
        <v>4592491.57</v>
      </c>
      <c r="L39" s="199">
        <v>862613.01</v>
      </c>
      <c r="M39" s="199">
        <v>276922.82</v>
      </c>
      <c r="N39" s="200">
        <v>0</v>
      </c>
      <c r="O39" s="200">
        <v>0</v>
      </c>
      <c r="P39" s="199">
        <v>3452955.74</v>
      </c>
      <c r="Q39" s="200">
        <v>0</v>
      </c>
      <c r="R39" s="195" t="s">
        <v>1330</v>
      </c>
      <c r="S39" s="195" t="s">
        <v>1324</v>
      </c>
      <c r="T39" s="195" t="s">
        <v>1326</v>
      </c>
      <c r="U39" s="196">
        <v>2021</v>
      </c>
      <c r="V39" s="110"/>
      <c r="W39" s="110"/>
      <c r="X39" s="110"/>
    </row>
    <row r="40" spans="1:26" ht="39" customHeight="1" x14ac:dyDescent="0.25">
      <c r="A40" s="49" t="s">
        <v>966</v>
      </c>
      <c r="B40" s="279" t="s">
        <v>472</v>
      </c>
      <c r="C40" s="49" t="s">
        <v>1883</v>
      </c>
      <c r="D40" s="14" t="s">
        <v>1587</v>
      </c>
      <c r="E40" s="14" t="s">
        <v>1585</v>
      </c>
      <c r="F40" s="14" t="s">
        <v>1454</v>
      </c>
      <c r="G40" s="14" t="s">
        <v>14</v>
      </c>
      <c r="H40" s="21" t="s">
        <v>1586</v>
      </c>
      <c r="I40" s="14" t="s">
        <v>1582</v>
      </c>
      <c r="J40" s="14"/>
      <c r="K40" s="199">
        <f t="shared" si="12"/>
        <v>711630</v>
      </c>
      <c r="L40" s="201">
        <v>53373</v>
      </c>
      <c r="M40" s="201">
        <v>53372</v>
      </c>
      <c r="N40" s="202">
        <v>0</v>
      </c>
      <c r="O40" s="202">
        <v>0</v>
      </c>
      <c r="P40" s="201">
        <v>604885</v>
      </c>
      <c r="Q40" s="200">
        <v>0</v>
      </c>
      <c r="R40" s="192" t="s">
        <v>807</v>
      </c>
      <c r="S40" s="192" t="s">
        <v>804</v>
      </c>
      <c r="T40" s="192" t="s">
        <v>1329</v>
      </c>
      <c r="U40" s="187">
        <v>2018</v>
      </c>
      <c r="V40" s="110"/>
      <c r="W40" s="110"/>
      <c r="X40" s="110"/>
    </row>
    <row r="41" spans="1:26" ht="39" customHeight="1" x14ac:dyDescent="0.25">
      <c r="A41" s="49" t="s">
        <v>967</v>
      </c>
      <c r="B41" s="279" t="s">
        <v>473</v>
      </c>
      <c r="C41" s="49" t="s">
        <v>349</v>
      </c>
      <c r="D41" s="14" t="s">
        <v>1580</v>
      </c>
      <c r="E41" s="14" t="s">
        <v>1585</v>
      </c>
      <c r="F41" s="14" t="s">
        <v>1456</v>
      </c>
      <c r="G41" s="14" t="s">
        <v>1207</v>
      </c>
      <c r="H41" s="21" t="s">
        <v>1586</v>
      </c>
      <c r="I41" s="14" t="s">
        <v>1582</v>
      </c>
      <c r="J41" s="14"/>
      <c r="K41" s="199">
        <f t="shared" si="12"/>
        <v>979068.2</v>
      </c>
      <c r="L41" s="201">
        <v>98528.49</v>
      </c>
      <c r="M41" s="201">
        <v>93886.71</v>
      </c>
      <c r="N41" s="202">
        <v>0</v>
      </c>
      <c r="O41" s="202">
        <v>0</v>
      </c>
      <c r="P41" s="201">
        <v>786653</v>
      </c>
      <c r="Q41" s="200">
        <v>0</v>
      </c>
      <c r="R41" s="187" t="s">
        <v>807</v>
      </c>
      <c r="S41" s="192" t="s">
        <v>807</v>
      </c>
      <c r="T41" s="192" t="s">
        <v>1342</v>
      </c>
      <c r="U41" s="192" t="s">
        <v>107</v>
      </c>
      <c r="V41" s="111"/>
      <c r="W41" s="111"/>
      <c r="X41" s="111"/>
      <c r="Y41" s="73"/>
    </row>
    <row r="42" spans="1:26" ht="39" customHeight="1" x14ac:dyDescent="0.25">
      <c r="A42" s="49" t="s">
        <v>968</v>
      </c>
      <c r="B42" s="279" t="s">
        <v>474</v>
      </c>
      <c r="C42" s="39" t="s">
        <v>350</v>
      </c>
      <c r="D42" s="90" t="s">
        <v>1580</v>
      </c>
      <c r="E42" s="90" t="s">
        <v>1585</v>
      </c>
      <c r="F42" s="90" t="s">
        <v>1456</v>
      </c>
      <c r="G42" s="14" t="s">
        <v>1207</v>
      </c>
      <c r="H42" s="194" t="s">
        <v>1586</v>
      </c>
      <c r="I42" s="90" t="s">
        <v>1582</v>
      </c>
      <c r="J42" s="90"/>
      <c r="K42" s="199">
        <f t="shared" si="12"/>
        <v>1621872</v>
      </c>
      <c r="L42" s="199">
        <v>121641</v>
      </c>
      <c r="M42" s="199">
        <v>121640</v>
      </c>
      <c r="N42" s="200">
        <v>0</v>
      </c>
      <c r="O42" s="200">
        <v>0</v>
      </c>
      <c r="P42" s="199">
        <v>1378591</v>
      </c>
      <c r="Q42" s="200">
        <v>0</v>
      </c>
      <c r="R42" s="187" t="s">
        <v>1325</v>
      </c>
      <c r="S42" s="192" t="s">
        <v>1324</v>
      </c>
      <c r="T42" s="192" t="s">
        <v>1326</v>
      </c>
      <c r="U42" s="196">
        <v>2023</v>
      </c>
      <c r="V42" s="111"/>
      <c r="W42" s="111"/>
      <c r="X42" s="111"/>
      <c r="Y42" s="73"/>
      <c r="Z42" s="73"/>
    </row>
    <row r="43" spans="1:26" ht="39" customHeight="1" x14ac:dyDescent="0.25">
      <c r="A43" s="49" t="s">
        <v>969</v>
      </c>
      <c r="B43" s="279" t="s">
        <v>475</v>
      </c>
      <c r="C43" s="39" t="s">
        <v>1564</v>
      </c>
      <c r="D43" s="90" t="s">
        <v>1580</v>
      </c>
      <c r="E43" s="90" t="s">
        <v>1585</v>
      </c>
      <c r="F43" s="90" t="s">
        <v>1456</v>
      </c>
      <c r="G43" s="14" t="s">
        <v>1207</v>
      </c>
      <c r="H43" s="194" t="s">
        <v>1586</v>
      </c>
      <c r="I43" s="90" t="s">
        <v>1582</v>
      </c>
      <c r="J43" s="90"/>
      <c r="K43" s="199">
        <f t="shared" si="12"/>
        <v>666353.96</v>
      </c>
      <c r="L43" s="199">
        <v>130556.96</v>
      </c>
      <c r="M43" s="199">
        <v>43443</v>
      </c>
      <c r="N43" s="200">
        <v>0</v>
      </c>
      <c r="O43" s="200">
        <v>0</v>
      </c>
      <c r="P43" s="199">
        <v>492354</v>
      </c>
      <c r="Q43" s="200">
        <v>0</v>
      </c>
      <c r="R43" s="187" t="s">
        <v>1351</v>
      </c>
      <c r="S43" s="192" t="s">
        <v>1322</v>
      </c>
      <c r="T43" s="192" t="s">
        <v>1316</v>
      </c>
      <c r="U43" s="196">
        <v>2023</v>
      </c>
      <c r="V43" s="111"/>
      <c r="W43" s="111"/>
      <c r="X43" s="111"/>
      <c r="Y43" s="73"/>
    </row>
    <row r="44" spans="1:26" ht="39" customHeight="1" x14ac:dyDescent="0.25">
      <c r="A44" s="49" t="s">
        <v>970</v>
      </c>
      <c r="B44" s="279" t="s">
        <v>476</v>
      </c>
      <c r="C44" s="23" t="s">
        <v>1565</v>
      </c>
      <c r="D44" s="11" t="s">
        <v>1589</v>
      </c>
      <c r="E44" s="11" t="s">
        <v>1585</v>
      </c>
      <c r="F44" s="11" t="s">
        <v>1441</v>
      </c>
      <c r="G44" s="90" t="s">
        <v>1207</v>
      </c>
      <c r="H44" s="22" t="s">
        <v>1586</v>
      </c>
      <c r="I44" s="11" t="s">
        <v>1582</v>
      </c>
      <c r="J44" s="11"/>
      <c r="K44" s="199">
        <f t="shared" si="12"/>
        <v>471996.1</v>
      </c>
      <c r="L44" s="199">
        <v>35399.71</v>
      </c>
      <c r="M44" s="199">
        <v>35399.71</v>
      </c>
      <c r="N44" s="200">
        <v>0</v>
      </c>
      <c r="O44" s="200">
        <v>0</v>
      </c>
      <c r="P44" s="199">
        <v>401196.68</v>
      </c>
      <c r="Q44" s="200">
        <v>0</v>
      </c>
      <c r="R44" s="188" t="s">
        <v>1319</v>
      </c>
      <c r="S44" s="188" t="s">
        <v>1318</v>
      </c>
      <c r="T44" s="188" t="s">
        <v>1322</v>
      </c>
      <c r="U44" s="188">
        <v>2018</v>
      </c>
      <c r="V44" s="111"/>
      <c r="W44" s="111"/>
      <c r="X44" s="110"/>
    </row>
    <row r="45" spans="1:26" ht="39" customHeight="1" x14ac:dyDescent="0.25">
      <c r="A45" s="49" t="s">
        <v>971</v>
      </c>
      <c r="B45" s="279" t="s">
        <v>477</v>
      </c>
      <c r="C45" s="23" t="s">
        <v>1566</v>
      </c>
      <c r="D45" s="11" t="s">
        <v>1589</v>
      </c>
      <c r="E45" s="11" t="s">
        <v>1585</v>
      </c>
      <c r="F45" s="11" t="s">
        <v>1441</v>
      </c>
      <c r="G45" s="90" t="s">
        <v>1207</v>
      </c>
      <c r="H45" s="22" t="s">
        <v>1586</v>
      </c>
      <c r="I45" s="11" t="s">
        <v>1582</v>
      </c>
      <c r="J45" s="11"/>
      <c r="K45" s="199">
        <f t="shared" si="12"/>
        <v>3220130</v>
      </c>
      <c r="L45" s="199">
        <v>241510</v>
      </c>
      <c r="M45" s="199">
        <v>241510</v>
      </c>
      <c r="N45" s="200">
        <v>0</v>
      </c>
      <c r="O45" s="200">
        <v>0</v>
      </c>
      <c r="P45" s="199">
        <v>2737110</v>
      </c>
      <c r="Q45" s="200">
        <v>0</v>
      </c>
      <c r="R45" s="188" t="s">
        <v>1333</v>
      </c>
      <c r="S45" s="188" t="s">
        <v>803</v>
      </c>
      <c r="T45" s="188" t="s">
        <v>1343</v>
      </c>
      <c r="U45" s="188">
        <v>2020</v>
      </c>
      <c r="V45" s="111"/>
      <c r="W45" s="111"/>
      <c r="X45" s="110"/>
    </row>
    <row r="46" spans="1:26" ht="57.75" customHeight="1" x14ac:dyDescent="0.25">
      <c r="A46" s="49" t="s">
        <v>972</v>
      </c>
      <c r="B46" s="279" t="s">
        <v>478</v>
      </c>
      <c r="C46" s="23" t="s">
        <v>1686</v>
      </c>
      <c r="D46" s="11" t="s">
        <v>1589</v>
      </c>
      <c r="E46" s="11" t="s">
        <v>1585</v>
      </c>
      <c r="F46" s="11" t="s">
        <v>1441</v>
      </c>
      <c r="G46" s="90" t="s">
        <v>1207</v>
      </c>
      <c r="H46" s="22" t="s">
        <v>1586</v>
      </c>
      <c r="I46" s="11" t="s">
        <v>1582</v>
      </c>
      <c r="J46" s="11"/>
      <c r="K46" s="199">
        <f t="shared" si="12"/>
        <v>3400160</v>
      </c>
      <c r="L46" s="199">
        <v>255012</v>
      </c>
      <c r="M46" s="199">
        <v>255012</v>
      </c>
      <c r="N46" s="200">
        <v>0</v>
      </c>
      <c r="O46" s="200">
        <v>0</v>
      </c>
      <c r="P46" s="199">
        <v>2890136</v>
      </c>
      <c r="Q46" s="200">
        <v>0</v>
      </c>
      <c r="R46" s="188" t="s">
        <v>1322</v>
      </c>
      <c r="S46" s="188" t="s">
        <v>1323</v>
      </c>
      <c r="T46" s="188" t="s">
        <v>66</v>
      </c>
      <c r="U46" s="188">
        <v>2020</v>
      </c>
      <c r="V46" s="111"/>
      <c r="W46" s="111"/>
      <c r="X46" s="110"/>
    </row>
    <row r="47" spans="1:26" ht="39" customHeight="1" x14ac:dyDescent="0.25">
      <c r="A47" s="49" t="s">
        <v>973</v>
      </c>
      <c r="B47" s="279" t="s">
        <v>479</v>
      </c>
      <c r="C47" s="23" t="s">
        <v>1567</v>
      </c>
      <c r="D47" s="11" t="s">
        <v>1589</v>
      </c>
      <c r="E47" s="11" t="s">
        <v>1585</v>
      </c>
      <c r="F47" s="11" t="s">
        <v>1441</v>
      </c>
      <c r="G47" s="90" t="s">
        <v>1207</v>
      </c>
      <c r="H47" s="22" t="s">
        <v>1586</v>
      </c>
      <c r="I47" s="11" t="s">
        <v>1582</v>
      </c>
      <c r="J47" s="11"/>
      <c r="K47" s="199">
        <f t="shared" si="12"/>
        <v>781974</v>
      </c>
      <c r="L47" s="199">
        <v>58648</v>
      </c>
      <c r="M47" s="199">
        <v>58649</v>
      </c>
      <c r="N47" s="200">
        <v>0</v>
      </c>
      <c r="O47" s="200">
        <v>0</v>
      </c>
      <c r="P47" s="199">
        <v>664677</v>
      </c>
      <c r="Q47" s="200">
        <v>0</v>
      </c>
      <c r="R47" s="188" t="s">
        <v>1406</v>
      </c>
      <c r="S47" s="188" t="s">
        <v>1316</v>
      </c>
      <c r="T47" s="188" t="s">
        <v>66</v>
      </c>
      <c r="U47" s="188">
        <v>2020</v>
      </c>
      <c r="V47" s="111"/>
      <c r="W47" s="111"/>
      <c r="X47" s="110"/>
    </row>
    <row r="48" spans="1:26" ht="39" customHeight="1" x14ac:dyDescent="0.25">
      <c r="A48" s="49" t="s">
        <v>974</v>
      </c>
      <c r="B48" s="279" t="s">
        <v>480</v>
      </c>
      <c r="C48" s="23" t="s">
        <v>345</v>
      </c>
      <c r="D48" s="11" t="s">
        <v>1589</v>
      </c>
      <c r="E48" s="11" t="s">
        <v>1585</v>
      </c>
      <c r="F48" s="11" t="s">
        <v>1441</v>
      </c>
      <c r="G48" s="90" t="s">
        <v>1207</v>
      </c>
      <c r="H48" s="22" t="s">
        <v>1586</v>
      </c>
      <c r="I48" s="11" t="s">
        <v>1582</v>
      </c>
      <c r="J48" s="11"/>
      <c r="K48" s="199">
        <f t="shared" si="12"/>
        <v>1338400</v>
      </c>
      <c r="L48" s="199">
        <v>100380</v>
      </c>
      <c r="M48" s="199">
        <v>100380</v>
      </c>
      <c r="N48" s="200">
        <v>0</v>
      </c>
      <c r="O48" s="200">
        <v>0</v>
      </c>
      <c r="P48" s="199">
        <v>1137640</v>
      </c>
      <c r="Q48" s="200">
        <v>0</v>
      </c>
      <c r="R48" s="188" t="s">
        <v>1344</v>
      </c>
      <c r="S48" s="188" t="s">
        <v>1323</v>
      </c>
      <c r="T48" s="188" t="s">
        <v>1324</v>
      </c>
      <c r="U48" s="188">
        <v>2020</v>
      </c>
      <c r="V48" s="111"/>
      <c r="W48" s="111"/>
      <c r="X48" s="110"/>
    </row>
    <row r="49" spans="1:24" ht="39" customHeight="1" x14ac:dyDescent="0.25">
      <c r="A49" s="49" t="s">
        <v>975</v>
      </c>
      <c r="B49" s="279" t="s">
        <v>481</v>
      </c>
      <c r="C49" s="39" t="s">
        <v>1568</v>
      </c>
      <c r="D49" s="90" t="s">
        <v>1584</v>
      </c>
      <c r="E49" s="90" t="s">
        <v>1585</v>
      </c>
      <c r="F49" s="14" t="s">
        <v>1436</v>
      </c>
      <c r="G49" s="14" t="s">
        <v>1207</v>
      </c>
      <c r="H49" s="194" t="s">
        <v>1586</v>
      </c>
      <c r="I49" s="90" t="s">
        <v>1582</v>
      </c>
      <c r="J49" s="90"/>
      <c r="K49" s="199">
        <f t="shared" si="12"/>
        <v>1013672</v>
      </c>
      <c r="L49" s="199">
        <v>76027</v>
      </c>
      <c r="M49" s="199">
        <v>76025</v>
      </c>
      <c r="N49" s="200">
        <v>0</v>
      </c>
      <c r="O49" s="200">
        <v>0</v>
      </c>
      <c r="P49" s="199">
        <v>861620</v>
      </c>
      <c r="Q49" s="200">
        <v>0</v>
      </c>
      <c r="R49" s="195" t="s">
        <v>1320</v>
      </c>
      <c r="S49" s="192" t="s">
        <v>1348</v>
      </c>
      <c r="T49" s="192" t="s">
        <v>138</v>
      </c>
      <c r="U49" s="192">
        <v>2019</v>
      </c>
      <c r="V49" s="111"/>
      <c r="W49" s="111"/>
      <c r="X49" s="110"/>
    </row>
    <row r="50" spans="1:24" ht="39" customHeight="1" x14ac:dyDescent="0.25">
      <c r="A50" s="49" t="s">
        <v>976</v>
      </c>
      <c r="B50" s="279" t="s">
        <v>482</v>
      </c>
      <c r="C50" s="39" t="s">
        <v>1569</v>
      </c>
      <c r="D50" s="90" t="s">
        <v>1584</v>
      </c>
      <c r="E50" s="90" t="s">
        <v>1585</v>
      </c>
      <c r="F50" s="14" t="s">
        <v>1436</v>
      </c>
      <c r="G50" s="14" t="s">
        <v>1207</v>
      </c>
      <c r="H50" s="194" t="s">
        <v>1586</v>
      </c>
      <c r="I50" s="90" t="s">
        <v>1582</v>
      </c>
      <c r="J50" s="90"/>
      <c r="K50" s="199">
        <f t="shared" si="12"/>
        <v>289620</v>
      </c>
      <c r="L50" s="199">
        <v>21722</v>
      </c>
      <c r="M50" s="199">
        <v>21721</v>
      </c>
      <c r="N50" s="200">
        <v>0</v>
      </c>
      <c r="O50" s="200">
        <v>0</v>
      </c>
      <c r="P50" s="199">
        <v>246177</v>
      </c>
      <c r="Q50" s="200">
        <v>0</v>
      </c>
      <c r="R50" s="195" t="s">
        <v>1320</v>
      </c>
      <c r="S50" s="192" t="s">
        <v>1323</v>
      </c>
      <c r="T50" s="192" t="s">
        <v>66</v>
      </c>
      <c r="U50" s="195" t="s">
        <v>139</v>
      </c>
      <c r="V50" s="111"/>
      <c r="W50" s="111"/>
      <c r="X50" s="110"/>
    </row>
    <row r="51" spans="1:24" ht="39" customHeight="1" x14ac:dyDescent="0.25">
      <c r="A51" s="49" t="s">
        <v>977</v>
      </c>
      <c r="B51" s="279" t="s">
        <v>483</v>
      </c>
      <c r="C51" s="39" t="s">
        <v>263</v>
      </c>
      <c r="D51" s="90" t="s">
        <v>1584</v>
      </c>
      <c r="E51" s="90" t="s">
        <v>1585</v>
      </c>
      <c r="F51" s="14" t="s">
        <v>1436</v>
      </c>
      <c r="G51" s="14" t="s">
        <v>1207</v>
      </c>
      <c r="H51" s="194" t="s">
        <v>1586</v>
      </c>
      <c r="I51" s="90" t="s">
        <v>1582</v>
      </c>
      <c r="J51" s="90"/>
      <c r="K51" s="199">
        <f t="shared" si="12"/>
        <v>1554966.97</v>
      </c>
      <c r="L51" s="199">
        <v>116622.52</v>
      </c>
      <c r="M51" s="199">
        <v>116622.52</v>
      </c>
      <c r="N51" s="200">
        <v>0</v>
      </c>
      <c r="O51" s="200">
        <v>0</v>
      </c>
      <c r="P51" s="199">
        <v>1321721.93</v>
      </c>
      <c r="Q51" s="200">
        <v>0</v>
      </c>
      <c r="R51" s="195" t="s">
        <v>1320</v>
      </c>
      <c r="S51" s="192" t="s">
        <v>1316</v>
      </c>
      <c r="T51" s="192" t="s">
        <v>66</v>
      </c>
      <c r="U51" s="187">
        <v>2020</v>
      </c>
      <c r="V51" s="111"/>
      <c r="W51" s="111"/>
      <c r="X51" s="110"/>
    </row>
    <row r="52" spans="1:24" s="73" customFormat="1" ht="39" customHeight="1" x14ac:dyDescent="0.25">
      <c r="A52" s="49" t="s">
        <v>978</v>
      </c>
      <c r="B52" s="279" t="s">
        <v>484</v>
      </c>
      <c r="C52" s="49" t="s">
        <v>1570</v>
      </c>
      <c r="D52" s="14" t="s">
        <v>1443</v>
      </c>
      <c r="E52" s="14" t="s">
        <v>1585</v>
      </c>
      <c r="F52" s="14" t="s">
        <v>1455</v>
      </c>
      <c r="G52" s="14" t="s">
        <v>1207</v>
      </c>
      <c r="H52" s="14" t="s">
        <v>1586</v>
      </c>
      <c r="I52" s="14" t="s">
        <v>1582</v>
      </c>
      <c r="J52" s="14"/>
      <c r="K52" s="199">
        <f t="shared" si="12"/>
        <v>690296.7</v>
      </c>
      <c r="L52" s="201">
        <v>144385.51</v>
      </c>
      <c r="M52" s="201">
        <v>44263.07</v>
      </c>
      <c r="N52" s="200">
        <v>0</v>
      </c>
      <c r="O52" s="200">
        <v>0</v>
      </c>
      <c r="P52" s="201">
        <v>501648.12</v>
      </c>
      <c r="Q52" s="200">
        <v>0</v>
      </c>
      <c r="R52" s="192" t="s">
        <v>1333</v>
      </c>
      <c r="S52" s="192" t="s">
        <v>1343</v>
      </c>
      <c r="T52" s="192" t="s">
        <v>1321</v>
      </c>
      <c r="U52" s="187">
        <v>2018</v>
      </c>
      <c r="V52" s="111"/>
      <c r="W52" s="111"/>
      <c r="X52" s="111"/>
    </row>
    <row r="53" spans="1:24" ht="39" customHeight="1" x14ac:dyDescent="0.25">
      <c r="A53" s="49" t="s">
        <v>979</v>
      </c>
      <c r="B53" s="279" t="s">
        <v>485</v>
      </c>
      <c r="C53" s="39" t="s">
        <v>1571</v>
      </c>
      <c r="D53" s="14" t="s">
        <v>1443</v>
      </c>
      <c r="E53" s="90" t="s">
        <v>1585</v>
      </c>
      <c r="F53" s="14" t="s">
        <v>1455</v>
      </c>
      <c r="G53" s="90" t="s">
        <v>1207</v>
      </c>
      <c r="H53" s="90" t="s">
        <v>1586</v>
      </c>
      <c r="I53" s="90" t="s">
        <v>1582</v>
      </c>
      <c r="J53" s="90"/>
      <c r="K53" s="199">
        <f t="shared" si="12"/>
        <v>621866</v>
      </c>
      <c r="L53" s="199">
        <v>71588</v>
      </c>
      <c r="M53" s="199">
        <v>57924</v>
      </c>
      <c r="N53" s="200">
        <v>0</v>
      </c>
      <c r="O53" s="200">
        <v>0</v>
      </c>
      <c r="P53" s="199">
        <v>492354</v>
      </c>
      <c r="Q53" s="200">
        <v>0</v>
      </c>
      <c r="R53" s="195" t="s">
        <v>804</v>
      </c>
      <c r="S53" s="195" t="s">
        <v>803</v>
      </c>
      <c r="T53" s="195" t="s">
        <v>1320</v>
      </c>
      <c r="U53" s="196">
        <v>2018</v>
      </c>
      <c r="V53" s="110"/>
      <c r="W53" s="110"/>
      <c r="X53" s="110"/>
    </row>
    <row r="54" spans="1:24" ht="39" customHeight="1" x14ac:dyDescent="0.25">
      <c r="A54" s="49" t="s">
        <v>980</v>
      </c>
      <c r="B54" s="279" t="s">
        <v>486</v>
      </c>
      <c r="C54" s="39" t="s">
        <v>1572</v>
      </c>
      <c r="D54" s="14" t="s">
        <v>1443</v>
      </c>
      <c r="E54" s="90" t="s">
        <v>1585</v>
      </c>
      <c r="F54" s="14" t="s">
        <v>1455</v>
      </c>
      <c r="G54" s="90" t="s">
        <v>1207</v>
      </c>
      <c r="H54" s="90" t="s">
        <v>1586</v>
      </c>
      <c r="I54" s="90" t="s">
        <v>1582</v>
      </c>
      <c r="J54" s="90"/>
      <c r="K54" s="199">
        <f t="shared" si="12"/>
        <v>2879573.76</v>
      </c>
      <c r="L54" s="199">
        <v>419059.38</v>
      </c>
      <c r="M54" s="199">
        <v>259001.52</v>
      </c>
      <c r="N54" s="200">
        <v>0</v>
      </c>
      <c r="O54" s="200">
        <v>0</v>
      </c>
      <c r="P54" s="199">
        <v>2201512.86</v>
      </c>
      <c r="Q54" s="200">
        <v>0</v>
      </c>
      <c r="R54" s="195" t="s">
        <v>807</v>
      </c>
      <c r="S54" s="195" t="s">
        <v>1320</v>
      </c>
      <c r="T54" s="195" t="s">
        <v>1318</v>
      </c>
      <c r="U54" s="195">
        <v>2018</v>
      </c>
      <c r="V54" s="110"/>
      <c r="W54" s="110"/>
      <c r="X54" s="110"/>
    </row>
    <row r="55" spans="1:24" ht="39" customHeight="1" x14ac:dyDescent="0.25">
      <c r="A55" s="49" t="s">
        <v>981</v>
      </c>
      <c r="B55" s="279" t="s">
        <v>487</v>
      </c>
      <c r="C55" s="39" t="s">
        <v>352</v>
      </c>
      <c r="D55" s="14" t="s">
        <v>1443</v>
      </c>
      <c r="E55" s="90" t="s">
        <v>1585</v>
      </c>
      <c r="F55" s="14" t="s">
        <v>1455</v>
      </c>
      <c r="G55" s="90" t="s">
        <v>1207</v>
      </c>
      <c r="H55" s="90" t="s">
        <v>1586</v>
      </c>
      <c r="I55" s="90" t="s">
        <v>1582</v>
      </c>
      <c r="J55" s="90"/>
      <c r="K55" s="199">
        <f t="shared" si="12"/>
        <v>1448100</v>
      </c>
      <c r="L55" s="199">
        <v>108608</v>
      </c>
      <c r="M55" s="199">
        <v>108607</v>
      </c>
      <c r="N55" s="200">
        <v>0</v>
      </c>
      <c r="O55" s="200">
        <v>0</v>
      </c>
      <c r="P55" s="199">
        <v>1230885</v>
      </c>
      <c r="Q55" s="200">
        <v>0</v>
      </c>
      <c r="R55" s="195" t="s">
        <v>1406</v>
      </c>
      <c r="S55" s="195" t="s">
        <v>1325</v>
      </c>
      <c r="T55" s="195" t="s">
        <v>38</v>
      </c>
      <c r="U55" s="195">
        <v>2019</v>
      </c>
      <c r="V55" s="110"/>
      <c r="W55" s="110"/>
      <c r="X55" s="110"/>
    </row>
    <row r="56" spans="1:24" ht="72" customHeight="1" x14ac:dyDescent="0.25">
      <c r="A56" s="49" t="s">
        <v>982</v>
      </c>
      <c r="B56" s="279" t="s">
        <v>488</v>
      </c>
      <c r="C56" s="39" t="s">
        <v>351</v>
      </c>
      <c r="D56" s="14" t="s">
        <v>1443</v>
      </c>
      <c r="E56" s="90" t="s">
        <v>1591</v>
      </c>
      <c r="F56" s="14" t="s">
        <v>1455</v>
      </c>
      <c r="G56" s="397" t="s">
        <v>1878</v>
      </c>
      <c r="H56" s="90" t="s">
        <v>1550</v>
      </c>
      <c r="I56" s="90" t="s">
        <v>858</v>
      </c>
      <c r="J56" s="90"/>
      <c r="K56" s="199">
        <f t="shared" si="12"/>
        <v>994433</v>
      </c>
      <c r="L56" s="199">
        <v>594798</v>
      </c>
      <c r="M56" s="199">
        <v>0</v>
      </c>
      <c r="N56" s="200">
        <v>0</v>
      </c>
      <c r="O56" s="200">
        <v>399635</v>
      </c>
      <c r="P56" s="199">
        <v>0</v>
      </c>
      <c r="Q56" s="200">
        <v>0</v>
      </c>
      <c r="R56" s="192" t="s">
        <v>75</v>
      </c>
      <c r="S56" s="192" t="s">
        <v>76</v>
      </c>
      <c r="T56" s="192" t="s">
        <v>77</v>
      </c>
      <c r="U56" s="187">
        <v>2016</v>
      </c>
      <c r="V56" s="111"/>
      <c r="W56" s="111"/>
      <c r="X56" s="111"/>
    </row>
    <row r="57" spans="1:24" ht="39" customHeight="1" x14ac:dyDescent="0.25">
      <c r="A57" s="49" t="s">
        <v>434</v>
      </c>
      <c r="B57" s="472" t="s">
        <v>489</v>
      </c>
      <c r="C57" s="39" t="s">
        <v>435</v>
      </c>
      <c r="D57" s="11" t="s">
        <v>1589</v>
      </c>
      <c r="E57" s="11" t="s">
        <v>1585</v>
      </c>
      <c r="F57" s="11" t="s">
        <v>1441</v>
      </c>
      <c r="G57" s="90" t="s">
        <v>1207</v>
      </c>
      <c r="H57" s="22" t="s">
        <v>1586</v>
      </c>
      <c r="I57" s="11" t="s">
        <v>1582</v>
      </c>
      <c r="J57" s="90"/>
      <c r="K57" s="199">
        <f t="shared" si="12"/>
        <v>3222032.9</v>
      </c>
      <c r="L57" s="199">
        <v>241652.47</v>
      </c>
      <c r="M57" s="199">
        <v>241652.47</v>
      </c>
      <c r="N57" s="200">
        <v>0</v>
      </c>
      <c r="O57" s="200">
        <v>0</v>
      </c>
      <c r="P57" s="199">
        <v>2738727.96</v>
      </c>
      <c r="Q57" s="200">
        <v>0</v>
      </c>
      <c r="R57" s="192" t="s">
        <v>66</v>
      </c>
      <c r="S57" s="192" t="s">
        <v>38</v>
      </c>
      <c r="T57" s="192" t="s">
        <v>1346</v>
      </c>
      <c r="U57" s="187">
        <v>2021</v>
      </c>
      <c r="V57" s="111"/>
      <c r="W57" s="111"/>
      <c r="X57" s="111"/>
    </row>
    <row r="58" spans="1:24" ht="39" customHeight="1" x14ac:dyDescent="0.25">
      <c r="A58" s="49" t="s">
        <v>1875</v>
      </c>
      <c r="B58" s="472" t="s">
        <v>1880</v>
      </c>
      <c r="C58" s="39" t="s">
        <v>1876</v>
      </c>
      <c r="D58" s="11" t="s">
        <v>1877</v>
      </c>
      <c r="E58" s="11" t="s">
        <v>1878</v>
      </c>
      <c r="F58" s="11" t="s">
        <v>1400</v>
      </c>
      <c r="G58" s="11" t="s">
        <v>1878</v>
      </c>
      <c r="H58" s="11" t="s">
        <v>1878</v>
      </c>
      <c r="I58" s="11" t="s">
        <v>1879</v>
      </c>
      <c r="J58" s="90"/>
      <c r="K58" s="199">
        <f t="shared" ref="K58" si="13">L58+M58+N58+O58+P58</f>
        <v>1980000</v>
      </c>
      <c r="L58" s="199">
        <v>0</v>
      </c>
      <c r="M58" s="199">
        <v>0</v>
      </c>
      <c r="N58" s="200">
        <v>1980000</v>
      </c>
      <c r="O58" s="200">
        <v>0</v>
      </c>
      <c r="P58" s="199">
        <v>0</v>
      </c>
      <c r="Q58" s="200">
        <v>0</v>
      </c>
      <c r="R58" s="11" t="s">
        <v>1878</v>
      </c>
      <c r="S58" s="11" t="s">
        <v>1878</v>
      </c>
      <c r="T58" s="11" t="s">
        <v>1878</v>
      </c>
      <c r="U58" s="11" t="s">
        <v>1878</v>
      </c>
      <c r="V58" s="111"/>
      <c r="W58" s="111"/>
      <c r="X58" s="111"/>
    </row>
    <row r="59" spans="1:24" ht="39" customHeight="1" x14ac:dyDescent="0.25">
      <c r="A59" s="434" t="s">
        <v>957</v>
      </c>
      <c r="B59" s="478"/>
      <c r="C59" s="434" t="s">
        <v>1597</v>
      </c>
      <c r="D59" s="436" t="s">
        <v>1550</v>
      </c>
      <c r="E59" s="436" t="s">
        <v>1550</v>
      </c>
      <c r="F59" s="436" t="s">
        <v>1550</v>
      </c>
      <c r="G59" s="436" t="s">
        <v>1550</v>
      </c>
      <c r="H59" s="436" t="s">
        <v>1550</v>
      </c>
      <c r="I59" s="436" t="s">
        <v>1550</v>
      </c>
      <c r="J59" s="436" t="s">
        <v>1550</v>
      </c>
      <c r="K59" s="430">
        <v>0</v>
      </c>
      <c r="L59" s="430">
        <v>0</v>
      </c>
      <c r="M59" s="430">
        <v>0</v>
      </c>
      <c r="N59" s="430">
        <v>0</v>
      </c>
      <c r="O59" s="430">
        <v>0</v>
      </c>
      <c r="P59" s="430">
        <v>0</v>
      </c>
      <c r="Q59" s="430">
        <v>0</v>
      </c>
      <c r="R59" s="435"/>
      <c r="S59" s="435"/>
      <c r="T59" s="435"/>
      <c r="U59" s="435"/>
      <c r="V59" s="110"/>
      <c r="W59" s="110"/>
      <c r="X59" s="110"/>
    </row>
    <row r="60" spans="1:24" ht="39" customHeight="1" x14ac:dyDescent="0.25">
      <c r="A60" s="434" t="s">
        <v>958</v>
      </c>
      <c r="B60" s="478"/>
      <c r="C60" s="434" t="s">
        <v>1594</v>
      </c>
      <c r="D60" s="436"/>
      <c r="E60" s="436"/>
      <c r="F60" s="436"/>
      <c r="G60" s="436"/>
      <c r="H60" s="436"/>
      <c r="I60" s="436"/>
      <c r="J60" s="436"/>
      <c r="K60" s="430">
        <v>0</v>
      </c>
      <c r="L60" s="430">
        <v>0</v>
      </c>
      <c r="M60" s="430">
        <v>0</v>
      </c>
      <c r="N60" s="430">
        <v>0</v>
      </c>
      <c r="O60" s="430">
        <v>0</v>
      </c>
      <c r="P60" s="430">
        <v>0</v>
      </c>
      <c r="Q60" s="430">
        <v>0</v>
      </c>
      <c r="R60" s="435"/>
      <c r="S60" s="435"/>
      <c r="T60" s="435"/>
      <c r="U60" s="435"/>
      <c r="V60" s="110"/>
      <c r="W60" s="110"/>
      <c r="X60" s="110"/>
    </row>
    <row r="61" spans="1:24" ht="39" customHeight="1" x14ac:dyDescent="0.25">
      <c r="A61" s="404" t="s">
        <v>1612</v>
      </c>
      <c r="B61" s="410"/>
      <c r="C61" s="404" t="s">
        <v>1613</v>
      </c>
      <c r="D61" s="410"/>
      <c r="E61" s="410"/>
      <c r="F61" s="410"/>
      <c r="G61" s="410"/>
      <c r="H61" s="410"/>
      <c r="I61" s="410"/>
      <c r="J61" s="410"/>
      <c r="K61" s="407">
        <f t="shared" ref="K61:Q61" si="14">K62</f>
        <v>26649094.27</v>
      </c>
      <c r="L61" s="407">
        <f t="shared" si="14"/>
        <v>10029477.249999998</v>
      </c>
      <c r="M61" s="407">
        <f t="shared" si="14"/>
        <v>0</v>
      </c>
      <c r="N61" s="407">
        <f t="shared" si="14"/>
        <v>0</v>
      </c>
      <c r="O61" s="407">
        <f t="shared" si="14"/>
        <v>231254.06</v>
      </c>
      <c r="P61" s="407">
        <f t="shared" si="14"/>
        <v>16388362.960000001</v>
      </c>
      <c r="Q61" s="407">
        <f t="shared" si="14"/>
        <v>0</v>
      </c>
      <c r="R61" s="409"/>
      <c r="S61" s="409"/>
      <c r="T61" s="409"/>
      <c r="U61" s="409"/>
      <c r="V61" s="110"/>
      <c r="W61" s="110"/>
      <c r="X61" s="110"/>
    </row>
    <row r="62" spans="1:24" ht="39" customHeight="1" x14ac:dyDescent="0.25">
      <c r="A62" s="391" t="s">
        <v>959</v>
      </c>
      <c r="B62" s="419"/>
      <c r="C62" s="391" t="s">
        <v>1533</v>
      </c>
      <c r="D62" s="392" t="s">
        <v>1550</v>
      </c>
      <c r="E62" s="392" t="s">
        <v>1550</v>
      </c>
      <c r="F62" s="392" t="s">
        <v>1550</v>
      </c>
      <c r="G62" s="392" t="s">
        <v>1550</v>
      </c>
      <c r="H62" s="392" t="s">
        <v>1550</v>
      </c>
      <c r="I62" s="392" t="s">
        <v>1550</v>
      </c>
      <c r="J62" s="392" t="s">
        <v>1550</v>
      </c>
      <c r="K62" s="416">
        <f t="shared" ref="K62:Q62" si="15">K63+K86+K95+K107</f>
        <v>26649094.27</v>
      </c>
      <c r="L62" s="416">
        <f t="shared" si="15"/>
        <v>10029477.249999998</v>
      </c>
      <c r="M62" s="416">
        <f t="shared" si="15"/>
        <v>0</v>
      </c>
      <c r="N62" s="416">
        <f t="shared" si="15"/>
        <v>0</v>
      </c>
      <c r="O62" s="416">
        <f t="shared" si="15"/>
        <v>231254.06</v>
      </c>
      <c r="P62" s="416">
        <f t="shared" si="15"/>
        <v>16388362.960000001</v>
      </c>
      <c r="Q62" s="416">
        <f t="shared" si="15"/>
        <v>0</v>
      </c>
      <c r="R62" s="419"/>
      <c r="S62" s="419"/>
      <c r="T62" s="419"/>
      <c r="U62" s="419"/>
      <c r="V62" s="110"/>
      <c r="W62" s="110"/>
      <c r="X62" s="110"/>
    </row>
    <row r="63" spans="1:24" ht="39" customHeight="1" x14ac:dyDescent="0.25">
      <c r="A63" s="434" t="s">
        <v>960</v>
      </c>
      <c r="B63" s="478"/>
      <c r="C63" s="434" t="s">
        <v>1598</v>
      </c>
      <c r="D63" s="436" t="s">
        <v>1550</v>
      </c>
      <c r="E63" s="436" t="s">
        <v>1550</v>
      </c>
      <c r="F63" s="436" t="s">
        <v>1550</v>
      </c>
      <c r="G63" s="436" t="s">
        <v>1550</v>
      </c>
      <c r="H63" s="436" t="s">
        <v>1550</v>
      </c>
      <c r="I63" s="436" t="s">
        <v>1550</v>
      </c>
      <c r="J63" s="436" t="s">
        <v>1550</v>
      </c>
      <c r="K63" s="433">
        <f t="shared" ref="K63:Q63" si="16">SUM(K64:K85)</f>
        <v>20330940.359999999</v>
      </c>
      <c r="L63" s="433">
        <f t="shared" si="16"/>
        <v>8476802.9999999981</v>
      </c>
      <c r="M63" s="433">
        <f t="shared" si="16"/>
        <v>0</v>
      </c>
      <c r="N63" s="433">
        <f t="shared" si="16"/>
        <v>0</v>
      </c>
      <c r="O63" s="433">
        <f t="shared" si="16"/>
        <v>210496.69</v>
      </c>
      <c r="P63" s="433">
        <f t="shared" si="16"/>
        <v>11643640.670000002</v>
      </c>
      <c r="Q63" s="433">
        <f t="shared" si="16"/>
        <v>0</v>
      </c>
      <c r="R63" s="435"/>
      <c r="S63" s="435"/>
      <c r="T63" s="435"/>
      <c r="U63" s="435"/>
      <c r="V63" s="110"/>
      <c r="W63" s="110"/>
      <c r="X63" s="110"/>
    </row>
    <row r="64" spans="1:24" ht="39" customHeight="1" x14ac:dyDescent="0.25">
      <c r="A64" s="49" t="s">
        <v>983</v>
      </c>
      <c r="B64" s="279" t="s">
        <v>490</v>
      </c>
      <c r="C64" s="39" t="s">
        <v>353</v>
      </c>
      <c r="D64" s="90" t="s">
        <v>1590</v>
      </c>
      <c r="E64" s="90" t="s">
        <v>1591</v>
      </c>
      <c r="F64" s="90" t="s">
        <v>1446</v>
      </c>
      <c r="G64" s="90" t="s">
        <v>1236</v>
      </c>
      <c r="H64" s="90" t="s">
        <v>1586</v>
      </c>
      <c r="I64" s="90" t="s">
        <v>1582</v>
      </c>
      <c r="J64" s="90"/>
      <c r="K64" s="200">
        <f>L64+M64+N64+O64+P64</f>
        <v>568410.04999999993</v>
      </c>
      <c r="L64" s="199">
        <v>85261.51</v>
      </c>
      <c r="M64" s="200">
        <v>0</v>
      </c>
      <c r="N64" s="200">
        <v>0</v>
      </c>
      <c r="O64" s="200">
        <v>0</v>
      </c>
      <c r="P64" s="199">
        <v>483148.54</v>
      </c>
      <c r="Q64" s="200">
        <v>0</v>
      </c>
      <c r="R64" s="195" t="s">
        <v>803</v>
      </c>
      <c r="S64" s="195" t="s">
        <v>1320</v>
      </c>
      <c r="T64" s="195" t="s">
        <v>1343</v>
      </c>
      <c r="U64" s="195">
        <v>2019</v>
      </c>
      <c r="V64" s="110"/>
      <c r="W64" s="110"/>
      <c r="X64" s="110"/>
    </row>
    <row r="65" spans="1:24" ht="39" customHeight="1" x14ac:dyDescent="0.25">
      <c r="A65" s="49" t="s">
        <v>984</v>
      </c>
      <c r="B65" s="279" t="s">
        <v>491</v>
      </c>
      <c r="C65" s="49" t="s">
        <v>1575</v>
      </c>
      <c r="D65" s="14" t="s">
        <v>1587</v>
      </c>
      <c r="E65" s="14" t="s">
        <v>1591</v>
      </c>
      <c r="F65" s="14" t="s">
        <v>1454</v>
      </c>
      <c r="G65" s="14" t="s">
        <v>1236</v>
      </c>
      <c r="H65" s="14" t="s">
        <v>1586</v>
      </c>
      <c r="I65" s="14" t="s">
        <v>1582</v>
      </c>
      <c r="J65" s="14"/>
      <c r="K65" s="200">
        <f t="shared" ref="K65:K85" si="17">L65+M65+N65+O65+P65</f>
        <v>1495093.12</v>
      </c>
      <c r="L65" s="201">
        <v>345379.52</v>
      </c>
      <c r="M65" s="202">
        <v>0</v>
      </c>
      <c r="N65" s="202">
        <v>0</v>
      </c>
      <c r="O65" s="201">
        <v>0</v>
      </c>
      <c r="P65" s="201">
        <v>1149713.6000000001</v>
      </c>
      <c r="Q65" s="200">
        <v>0</v>
      </c>
      <c r="R65" s="192" t="s">
        <v>1329</v>
      </c>
      <c r="S65" s="192" t="s">
        <v>803</v>
      </c>
      <c r="T65" s="192" t="s">
        <v>1317</v>
      </c>
      <c r="U65" s="192">
        <v>2017</v>
      </c>
      <c r="V65" s="110"/>
      <c r="W65" s="110"/>
      <c r="X65" s="110"/>
    </row>
    <row r="66" spans="1:24" ht="39" customHeight="1" x14ac:dyDescent="0.25">
      <c r="A66" s="49" t="s">
        <v>985</v>
      </c>
      <c r="B66" s="279" t="s">
        <v>492</v>
      </c>
      <c r="C66" s="39" t="s">
        <v>355</v>
      </c>
      <c r="D66" s="90" t="s">
        <v>1580</v>
      </c>
      <c r="E66" s="90" t="s">
        <v>1591</v>
      </c>
      <c r="F66" s="90" t="s">
        <v>1456</v>
      </c>
      <c r="G66" s="14" t="s">
        <v>1236</v>
      </c>
      <c r="H66" s="90" t="s">
        <v>1586</v>
      </c>
      <c r="I66" s="90" t="s">
        <v>1582</v>
      </c>
      <c r="J66" s="90"/>
      <c r="K66" s="200">
        <f t="shared" si="17"/>
        <v>914019.52</v>
      </c>
      <c r="L66" s="199">
        <v>68551.47</v>
      </c>
      <c r="M66" s="200">
        <v>0</v>
      </c>
      <c r="N66" s="200">
        <v>0</v>
      </c>
      <c r="O66" s="199">
        <v>68551.47</v>
      </c>
      <c r="P66" s="199">
        <v>776916.58</v>
      </c>
      <c r="Q66" s="200">
        <v>0</v>
      </c>
      <c r="R66" s="195" t="s">
        <v>1320</v>
      </c>
      <c r="S66" s="195" t="s">
        <v>1347</v>
      </c>
      <c r="T66" s="195" t="s">
        <v>108</v>
      </c>
      <c r="U66" s="196">
        <v>2023</v>
      </c>
      <c r="V66" s="110"/>
      <c r="W66" s="110"/>
      <c r="X66" s="110"/>
    </row>
    <row r="67" spans="1:24" ht="39" customHeight="1" x14ac:dyDescent="0.25">
      <c r="A67" s="49" t="s">
        <v>986</v>
      </c>
      <c r="B67" s="279" t="s">
        <v>493</v>
      </c>
      <c r="C67" s="68" t="s">
        <v>103</v>
      </c>
      <c r="D67" s="11" t="s">
        <v>1589</v>
      </c>
      <c r="E67" s="11" t="s">
        <v>1591</v>
      </c>
      <c r="F67" s="11" t="s">
        <v>1441</v>
      </c>
      <c r="G67" s="90" t="s">
        <v>1236</v>
      </c>
      <c r="H67" s="11" t="s">
        <v>1586</v>
      </c>
      <c r="I67" s="11" t="s">
        <v>1582</v>
      </c>
      <c r="J67" s="11"/>
      <c r="K67" s="200">
        <f>L67+O67+N67+P67</f>
        <v>1761987.06</v>
      </c>
      <c r="L67" s="201">
        <v>259146.6</v>
      </c>
      <c r="M67" s="202">
        <v>0</v>
      </c>
      <c r="N67" s="202">
        <v>0</v>
      </c>
      <c r="O67" s="201">
        <v>5151.46</v>
      </c>
      <c r="P67" s="201">
        <v>1497689</v>
      </c>
      <c r="Q67" s="200">
        <v>0</v>
      </c>
      <c r="R67" s="188" t="s">
        <v>1319</v>
      </c>
      <c r="S67" s="188" t="s">
        <v>1321</v>
      </c>
      <c r="T67" s="188" t="s">
        <v>1316</v>
      </c>
      <c r="U67" s="188">
        <v>2020</v>
      </c>
      <c r="V67" s="110"/>
      <c r="W67" s="110"/>
      <c r="X67" s="110"/>
    </row>
    <row r="68" spans="1:24" ht="39" customHeight="1" x14ac:dyDescent="0.25">
      <c r="A68" s="49" t="s">
        <v>987</v>
      </c>
      <c r="B68" s="279" t="s">
        <v>494</v>
      </c>
      <c r="C68" s="68" t="s">
        <v>65</v>
      </c>
      <c r="D68" s="11" t="s">
        <v>1589</v>
      </c>
      <c r="E68" s="11" t="s">
        <v>1591</v>
      </c>
      <c r="F68" s="11" t="s">
        <v>1441</v>
      </c>
      <c r="G68" s="90" t="s">
        <v>1237</v>
      </c>
      <c r="H68" s="11" t="s">
        <v>1586</v>
      </c>
      <c r="I68" s="11" t="s">
        <v>1582</v>
      </c>
      <c r="J68" s="11"/>
      <c r="K68" s="200">
        <f t="shared" si="17"/>
        <v>497104</v>
      </c>
      <c r="L68" s="201">
        <v>74566</v>
      </c>
      <c r="M68" s="202">
        <v>0</v>
      </c>
      <c r="N68" s="202">
        <v>0</v>
      </c>
      <c r="O68" s="201">
        <v>0</v>
      </c>
      <c r="P68" s="201">
        <v>422538</v>
      </c>
      <c r="Q68" s="200">
        <v>0</v>
      </c>
      <c r="R68" s="188" t="s">
        <v>1330</v>
      </c>
      <c r="S68" s="188" t="s">
        <v>66</v>
      </c>
      <c r="T68" s="188" t="s">
        <v>1326</v>
      </c>
      <c r="U68" s="188">
        <v>2020</v>
      </c>
      <c r="V68" s="110"/>
      <c r="W68" s="110"/>
      <c r="X68" s="110"/>
    </row>
    <row r="69" spans="1:24" ht="39" customHeight="1" x14ac:dyDescent="0.25">
      <c r="A69" s="49" t="s">
        <v>988</v>
      </c>
      <c r="B69" s="279" t="s">
        <v>495</v>
      </c>
      <c r="C69" s="39" t="s">
        <v>1579</v>
      </c>
      <c r="D69" s="14" t="s">
        <v>1443</v>
      </c>
      <c r="E69" s="14" t="s">
        <v>1591</v>
      </c>
      <c r="F69" s="14" t="s">
        <v>1455</v>
      </c>
      <c r="G69" s="90" t="s">
        <v>1236</v>
      </c>
      <c r="H69" s="90" t="s">
        <v>1586</v>
      </c>
      <c r="I69" s="90" t="s">
        <v>1582</v>
      </c>
      <c r="J69" s="90"/>
      <c r="K69" s="200">
        <f t="shared" si="17"/>
        <v>272822</v>
      </c>
      <c r="L69" s="199">
        <v>40924</v>
      </c>
      <c r="M69" s="200">
        <v>0</v>
      </c>
      <c r="N69" s="200">
        <v>0</v>
      </c>
      <c r="O69" s="200">
        <v>0</v>
      </c>
      <c r="P69" s="199">
        <v>231898</v>
      </c>
      <c r="Q69" s="200">
        <v>0</v>
      </c>
      <c r="R69" s="195" t="s">
        <v>803</v>
      </c>
      <c r="S69" s="195" t="s">
        <v>1323</v>
      </c>
      <c r="T69" s="195" t="s">
        <v>66</v>
      </c>
      <c r="U69" s="195">
        <v>2018</v>
      </c>
      <c r="V69" s="110"/>
      <c r="W69" s="110"/>
      <c r="X69" s="110"/>
    </row>
    <row r="70" spans="1:24" ht="39" customHeight="1" x14ac:dyDescent="0.25">
      <c r="A70" s="49" t="s">
        <v>989</v>
      </c>
      <c r="B70" s="279" t="s">
        <v>496</v>
      </c>
      <c r="C70" s="39" t="s">
        <v>23</v>
      </c>
      <c r="D70" s="14" t="s">
        <v>1443</v>
      </c>
      <c r="E70" s="14" t="s">
        <v>1591</v>
      </c>
      <c r="F70" s="14" t="s">
        <v>1455</v>
      </c>
      <c r="G70" s="90" t="s">
        <v>1236</v>
      </c>
      <c r="H70" s="90" t="s">
        <v>1586</v>
      </c>
      <c r="I70" s="90" t="s">
        <v>1582</v>
      </c>
      <c r="J70" s="90"/>
      <c r="K70" s="200">
        <f t="shared" si="17"/>
        <v>140466</v>
      </c>
      <c r="L70" s="199">
        <v>21070</v>
      </c>
      <c r="M70" s="200">
        <v>0</v>
      </c>
      <c r="N70" s="200">
        <v>0</v>
      </c>
      <c r="O70" s="200">
        <v>0</v>
      </c>
      <c r="P70" s="199">
        <v>119396</v>
      </c>
      <c r="Q70" s="200">
        <v>0</v>
      </c>
      <c r="R70" s="195" t="s">
        <v>803</v>
      </c>
      <c r="S70" s="195" t="s">
        <v>1346</v>
      </c>
      <c r="T70" s="195" t="s">
        <v>1347</v>
      </c>
      <c r="U70" s="195">
        <v>2019</v>
      </c>
      <c r="V70" s="110"/>
      <c r="W70" s="110"/>
      <c r="X70" s="110"/>
    </row>
    <row r="71" spans="1:24" ht="39" customHeight="1" x14ac:dyDescent="0.25">
      <c r="A71" s="49" t="s">
        <v>990</v>
      </c>
      <c r="B71" s="279" t="s">
        <v>497</v>
      </c>
      <c r="C71" s="23" t="s">
        <v>141</v>
      </c>
      <c r="D71" s="11" t="s">
        <v>850</v>
      </c>
      <c r="E71" s="11" t="s">
        <v>1591</v>
      </c>
      <c r="F71" s="11" t="s">
        <v>1400</v>
      </c>
      <c r="G71" s="91" t="s">
        <v>1236</v>
      </c>
      <c r="H71" s="22" t="s">
        <v>1586</v>
      </c>
      <c r="I71" s="11" t="s">
        <v>1582</v>
      </c>
      <c r="J71" s="11"/>
      <c r="K71" s="200">
        <f t="shared" si="17"/>
        <v>700000</v>
      </c>
      <c r="L71" s="204">
        <v>448000</v>
      </c>
      <c r="M71" s="204">
        <v>0</v>
      </c>
      <c r="N71" s="204">
        <v>0</v>
      </c>
      <c r="O71" s="204">
        <v>0</v>
      </c>
      <c r="P71" s="204">
        <v>252000</v>
      </c>
      <c r="Q71" s="200">
        <v>0</v>
      </c>
      <c r="R71" s="188" t="s">
        <v>1318</v>
      </c>
      <c r="S71" s="188" t="s">
        <v>1348</v>
      </c>
      <c r="T71" s="188" t="s">
        <v>1327</v>
      </c>
      <c r="U71" s="188">
        <v>2019</v>
      </c>
      <c r="V71" s="110"/>
      <c r="W71" s="110"/>
      <c r="X71" s="110"/>
    </row>
    <row r="72" spans="1:24" ht="39" customHeight="1" x14ac:dyDescent="0.25">
      <c r="A72" s="49" t="s">
        <v>991</v>
      </c>
      <c r="B72" s="279" t="s">
        <v>498</v>
      </c>
      <c r="C72" s="23" t="s">
        <v>333</v>
      </c>
      <c r="D72" s="11" t="s">
        <v>850</v>
      </c>
      <c r="E72" s="11" t="s">
        <v>1591</v>
      </c>
      <c r="F72" s="11" t="s">
        <v>1400</v>
      </c>
      <c r="G72" s="91" t="s">
        <v>1236</v>
      </c>
      <c r="H72" s="22" t="s">
        <v>1586</v>
      </c>
      <c r="I72" s="11" t="s">
        <v>1582</v>
      </c>
      <c r="J72" s="11"/>
      <c r="K72" s="200">
        <f t="shared" si="17"/>
        <v>8223977</v>
      </c>
      <c r="L72" s="204">
        <v>5350000</v>
      </c>
      <c r="M72" s="204">
        <v>0</v>
      </c>
      <c r="N72" s="204">
        <v>0</v>
      </c>
      <c r="O72" s="204">
        <v>0</v>
      </c>
      <c r="P72" s="204">
        <v>2873977</v>
      </c>
      <c r="Q72" s="200">
        <v>0</v>
      </c>
      <c r="R72" s="188" t="s">
        <v>1318</v>
      </c>
      <c r="S72" s="188" t="s">
        <v>1326</v>
      </c>
      <c r="T72" s="188" t="s">
        <v>138</v>
      </c>
      <c r="U72" s="188">
        <v>2019</v>
      </c>
      <c r="V72" s="110"/>
      <c r="W72" s="110"/>
      <c r="X72" s="110"/>
    </row>
    <row r="73" spans="1:24" ht="39" customHeight="1" x14ac:dyDescent="0.25">
      <c r="A73" s="49" t="s">
        <v>992</v>
      </c>
      <c r="B73" s="279" t="s">
        <v>499</v>
      </c>
      <c r="C73" s="23" t="s">
        <v>335</v>
      </c>
      <c r="D73" s="11" t="s">
        <v>850</v>
      </c>
      <c r="E73" s="11" t="s">
        <v>1591</v>
      </c>
      <c r="F73" s="11" t="s">
        <v>1400</v>
      </c>
      <c r="G73" s="91" t="s">
        <v>1236</v>
      </c>
      <c r="H73" s="22" t="s">
        <v>1586</v>
      </c>
      <c r="I73" s="11" t="s">
        <v>1582</v>
      </c>
      <c r="J73" s="11"/>
      <c r="K73" s="200">
        <f t="shared" si="17"/>
        <v>1000000</v>
      </c>
      <c r="L73" s="204">
        <v>640000</v>
      </c>
      <c r="M73" s="204">
        <v>0</v>
      </c>
      <c r="N73" s="204">
        <v>0</v>
      </c>
      <c r="O73" s="204">
        <v>0</v>
      </c>
      <c r="P73" s="204">
        <v>360000</v>
      </c>
      <c r="Q73" s="200">
        <v>0</v>
      </c>
      <c r="R73" s="188" t="s">
        <v>1318</v>
      </c>
      <c r="S73" s="188" t="s">
        <v>1324</v>
      </c>
      <c r="T73" s="188" t="s">
        <v>1348</v>
      </c>
      <c r="U73" s="188">
        <v>2019</v>
      </c>
      <c r="V73" s="110"/>
      <c r="W73" s="110"/>
      <c r="X73" s="110"/>
    </row>
    <row r="74" spans="1:24" ht="39" customHeight="1" x14ac:dyDescent="0.25">
      <c r="A74" s="49" t="s">
        <v>993</v>
      </c>
      <c r="B74" s="279" t="s">
        <v>500</v>
      </c>
      <c r="C74" s="39" t="s">
        <v>354</v>
      </c>
      <c r="D74" s="90" t="s">
        <v>1584</v>
      </c>
      <c r="E74" s="90" t="s">
        <v>1591</v>
      </c>
      <c r="F74" s="90" t="s">
        <v>1436</v>
      </c>
      <c r="G74" s="91" t="s">
        <v>1236</v>
      </c>
      <c r="H74" s="90" t="s">
        <v>1586</v>
      </c>
      <c r="I74" s="90" t="s">
        <v>1582</v>
      </c>
      <c r="J74" s="90"/>
      <c r="K74" s="200">
        <f t="shared" si="17"/>
        <v>1349487</v>
      </c>
      <c r="L74" s="199">
        <v>659532</v>
      </c>
      <c r="M74" s="200">
        <v>0</v>
      </c>
      <c r="N74" s="200">
        <v>0</v>
      </c>
      <c r="O74" s="199">
        <v>85190</v>
      </c>
      <c r="P74" s="199">
        <v>604765</v>
      </c>
      <c r="Q74" s="200">
        <v>0</v>
      </c>
      <c r="R74" s="195" t="s">
        <v>1342</v>
      </c>
      <c r="S74" s="195" t="s">
        <v>1324</v>
      </c>
      <c r="T74" s="195" t="s">
        <v>1326</v>
      </c>
      <c r="U74" s="196">
        <v>2019</v>
      </c>
      <c r="V74" s="110"/>
      <c r="W74" s="110"/>
      <c r="X74" s="110"/>
    </row>
    <row r="75" spans="1:24" ht="39" customHeight="1" x14ac:dyDescent="0.25">
      <c r="A75" s="39" t="s">
        <v>1140</v>
      </c>
      <c r="B75" s="279" t="s">
        <v>501</v>
      </c>
      <c r="C75" s="39" t="s">
        <v>1431</v>
      </c>
      <c r="D75" s="90" t="s">
        <v>1145</v>
      </c>
      <c r="E75" s="90" t="s">
        <v>1591</v>
      </c>
      <c r="F75" s="90" t="s">
        <v>1147</v>
      </c>
      <c r="G75" s="91" t="s">
        <v>1236</v>
      </c>
      <c r="H75" s="194" t="s">
        <v>1586</v>
      </c>
      <c r="I75" s="194"/>
      <c r="J75" s="194"/>
      <c r="K75" s="200">
        <f t="shared" si="17"/>
        <v>201097.24</v>
      </c>
      <c r="L75" s="201">
        <v>39922.019999999997</v>
      </c>
      <c r="M75" s="202">
        <v>0</v>
      </c>
      <c r="N75" s="202">
        <v>0</v>
      </c>
      <c r="O75" s="202">
        <v>15082.29</v>
      </c>
      <c r="P75" s="201">
        <v>146092.93</v>
      </c>
      <c r="Q75" s="200">
        <v>0</v>
      </c>
      <c r="R75" s="193" t="s">
        <v>1317</v>
      </c>
      <c r="S75" s="205" t="s">
        <v>1344</v>
      </c>
      <c r="T75" s="205" t="s">
        <v>1330</v>
      </c>
      <c r="U75" s="206">
        <v>2020</v>
      </c>
      <c r="V75" s="110"/>
      <c r="W75" s="110"/>
      <c r="X75" s="110"/>
    </row>
    <row r="76" spans="1:24" ht="39" customHeight="1" x14ac:dyDescent="0.25">
      <c r="A76" s="49" t="s">
        <v>1203</v>
      </c>
      <c r="B76" s="279" t="s">
        <v>502</v>
      </c>
      <c r="C76" s="30" t="s">
        <v>18</v>
      </c>
      <c r="D76" s="14" t="s">
        <v>1443</v>
      </c>
      <c r="E76" s="14" t="s">
        <v>1591</v>
      </c>
      <c r="F76" s="14" t="s">
        <v>1455</v>
      </c>
      <c r="G76" s="90" t="s">
        <v>1236</v>
      </c>
      <c r="H76" s="194" t="s">
        <v>1586</v>
      </c>
      <c r="I76" s="194" t="s">
        <v>858</v>
      </c>
      <c r="J76" s="194"/>
      <c r="K76" s="200">
        <f t="shared" si="17"/>
        <v>140466</v>
      </c>
      <c r="L76" s="199">
        <v>21070</v>
      </c>
      <c r="M76" s="200">
        <v>0</v>
      </c>
      <c r="N76" s="200">
        <v>0</v>
      </c>
      <c r="O76" s="200">
        <v>0</v>
      </c>
      <c r="P76" s="199">
        <v>119396</v>
      </c>
      <c r="Q76" s="200">
        <v>0</v>
      </c>
      <c r="R76" s="206" t="s">
        <v>803</v>
      </c>
      <c r="S76" s="207" t="s">
        <v>1348</v>
      </c>
      <c r="T76" s="207" t="s">
        <v>1327</v>
      </c>
      <c r="U76" s="206">
        <v>2019</v>
      </c>
      <c r="V76" s="110"/>
      <c r="W76" s="110"/>
      <c r="X76" s="110"/>
    </row>
    <row r="77" spans="1:24" ht="39" customHeight="1" x14ac:dyDescent="0.25">
      <c r="A77" s="49" t="s">
        <v>19</v>
      </c>
      <c r="B77" s="279" t="s">
        <v>503</v>
      </c>
      <c r="C77" s="30" t="s">
        <v>21</v>
      </c>
      <c r="D77" s="14" t="s">
        <v>1443</v>
      </c>
      <c r="E77" s="14" t="s">
        <v>1591</v>
      </c>
      <c r="F77" s="14" t="s">
        <v>1455</v>
      </c>
      <c r="G77" s="90" t="s">
        <v>1236</v>
      </c>
      <c r="H77" s="194" t="s">
        <v>1586</v>
      </c>
      <c r="I77" s="194" t="s">
        <v>858</v>
      </c>
      <c r="J77" s="194"/>
      <c r="K77" s="200">
        <f t="shared" si="17"/>
        <v>261595.76</v>
      </c>
      <c r="L77" s="199">
        <v>39239.370000000003</v>
      </c>
      <c r="M77" s="200">
        <v>0</v>
      </c>
      <c r="N77" s="200">
        <v>0</v>
      </c>
      <c r="O77" s="200">
        <v>0</v>
      </c>
      <c r="P77" s="199">
        <v>222356.39</v>
      </c>
      <c r="Q77" s="200">
        <v>0</v>
      </c>
      <c r="R77" s="206" t="s">
        <v>803</v>
      </c>
      <c r="S77" s="207" t="s">
        <v>1344</v>
      </c>
      <c r="T77" s="205" t="s">
        <v>1330</v>
      </c>
      <c r="U77" s="206">
        <v>2018</v>
      </c>
      <c r="V77" s="110"/>
      <c r="W77" s="110"/>
      <c r="X77" s="110"/>
    </row>
    <row r="78" spans="1:24" ht="39" customHeight="1" x14ac:dyDescent="0.25">
      <c r="A78" s="49" t="s">
        <v>20</v>
      </c>
      <c r="B78" s="279" t="s">
        <v>504</v>
      </c>
      <c r="C78" s="23" t="s">
        <v>1355</v>
      </c>
      <c r="D78" s="14" t="s">
        <v>1443</v>
      </c>
      <c r="E78" s="14" t="s">
        <v>1591</v>
      </c>
      <c r="F78" s="14" t="s">
        <v>1455</v>
      </c>
      <c r="G78" s="14" t="s">
        <v>1236</v>
      </c>
      <c r="H78" s="21" t="s">
        <v>1586</v>
      </c>
      <c r="I78" s="21" t="s">
        <v>858</v>
      </c>
      <c r="J78" s="21"/>
      <c r="K78" s="200">
        <f t="shared" si="17"/>
        <v>207285</v>
      </c>
      <c r="L78" s="201">
        <v>31093</v>
      </c>
      <c r="M78" s="202">
        <v>0</v>
      </c>
      <c r="N78" s="202">
        <v>0</v>
      </c>
      <c r="O78" s="202">
        <v>0</v>
      </c>
      <c r="P78" s="201">
        <v>176192</v>
      </c>
      <c r="Q78" s="200">
        <v>0</v>
      </c>
      <c r="R78" s="192" t="s">
        <v>803</v>
      </c>
      <c r="S78" s="205" t="s">
        <v>1326</v>
      </c>
      <c r="T78" s="205" t="s">
        <v>138</v>
      </c>
      <c r="U78" s="193">
        <v>2019</v>
      </c>
      <c r="V78" s="110"/>
      <c r="W78" s="110"/>
      <c r="X78" s="110"/>
    </row>
    <row r="79" spans="1:24" ht="39" customHeight="1" x14ac:dyDescent="0.25">
      <c r="A79" s="49" t="s">
        <v>1357</v>
      </c>
      <c r="B79" s="279" t="s">
        <v>505</v>
      </c>
      <c r="C79" s="23" t="s">
        <v>1356</v>
      </c>
      <c r="D79" s="14" t="s">
        <v>1443</v>
      </c>
      <c r="E79" s="14" t="s">
        <v>1591</v>
      </c>
      <c r="F79" s="14" t="s">
        <v>1455</v>
      </c>
      <c r="G79" s="14" t="s">
        <v>1236</v>
      </c>
      <c r="H79" s="21" t="s">
        <v>1586</v>
      </c>
      <c r="I79" s="21" t="s">
        <v>858</v>
      </c>
      <c r="J79" s="21"/>
      <c r="K79" s="200">
        <f t="shared" si="17"/>
        <v>536349</v>
      </c>
      <c r="L79" s="201">
        <v>80452</v>
      </c>
      <c r="M79" s="202">
        <v>0</v>
      </c>
      <c r="N79" s="202">
        <v>0</v>
      </c>
      <c r="O79" s="202">
        <v>0</v>
      </c>
      <c r="P79" s="201">
        <v>455897</v>
      </c>
      <c r="Q79" s="200">
        <v>0</v>
      </c>
      <c r="R79" s="192" t="s">
        <v>803</v>
      </c>
      <c r="S79" s="205" t="s">
        <v>1326</v>
      </c>
      <c r="T79" s="205" t="s">
        <v>138</v>
      </c>
      <c r="U79" s="193">
        <v>2019</v>
      </c>
      <c r="V79" s="110"/>
      <c r="W79" s="110"/>
      <c r="X79" s="110"/>
    </row>
    <row r="80" spans="1:24" ht="39" customHeight="1" x14ac:dyDescent="0.25">
      <c r="A80" s="49" t="s">
        <v>1358</v>
      </c>
      <c r="B80" s="279" t="s">
        <v>506</v>
      </c>
      <c r="C80" s="68" t="s">
        <v>1683</v>
      </c>
      <c r="D80" s="14" t="s">
        <v>1590</v>
      </c>
      <c r="E80" s="14" t="s">
        <v>1591</v>
      </c>
      <c r="F80" s="14" t="s">
        <v>1446</v>
      </c>
      <c r="G80" s="14" t="s">
        <v>1236</v>
      </c>
      <c r="H80" s="21" t="s">
        <v>1586</v>
      </c>
      <c r="I80" s="21" t="s">
        <v>858</v>
      </c>
      <c r="J80" s="21"/>
      <c r="K80" s="200">
        <f t="shared" si="17"/>
        <v>584455.16</v>
      </c>
      <c r="L80" s="201">
        <v>87668.27</v>
      </c>
      <c r="M80" s="202">
        <v>0</v>
      </c>
      <c r="N80" s="202">
        <v>0</v>
      </c>
      <c r="O80" s="202">
        <v>0</v>
      </c>
      <c r="P80" s="201">
        <v>496786.89</v>
      </c>
      <c r="Q80" s="200">
        <v>0</v>
      </c>
      <c r="R80" s="192" t="s">
        <v>1344</v>
      </c>
      <c r="S80" s="205" t="s">
        <v>1346</v>
      </c>
      <c r="T80" s="205" t="s">
        <v>1327</v>
      </c>
      <c r="U80" s="193">
        <v>2020</v>
      </c>
      <c r="V80" s="110"/>
      <c r="W80" s="110"/>
      <c r="X80" s="110"/>
    </row>
    <row r="81" spans="1:25" ht="39" customHeight="1" x14ac:dyDescent="0.25">
      <c r="A81" s="49" t="s">
        <v>1444</v>
      </c>
      <c r="B81" s="279" t="s">
        <v>507</v>
      </c>
      <c r="C81" s="68" t="s">
        <v>1882</v>
      </c>
      <c r="D81" s="14" t="s">
        <v>1590</v>
      </c>
      <c r="E81" s="14" t="s">
        <v>1591</v>
      </c>
      <c r="F81" s="14" t="s">
        <v>1446</v>
      </c>
      <c r="G81" s="14" t="s">
        <v>1236</v>
      </c>
      <c r="H81" s="21" t="s">
        <v>1586</v>
      </c>
      <c r="I81" s="21" t="s">
        <v>858</v>
      </c>
      <c r="J81" s="21"/>
      <c r="K81" s="200">
        <f t="shared" si="17"/>
        <v>483838.46</v>
      </c>
      <c r="L81" s="201">
        <v>72575.77</v>
      </c>
      <c r="M81" s="202">
        <v>0</v>
      </c>
      <c r="N81" s="202">
        <v>0</v>
      </c>
      <c r="O81" s="202">
        <v>0</v>
      </c>
      <c r="P81" s="201">
        <v>411262.69</v>
      </c>
      <c r="Q81" s="200">
        <v>0</v>
      </c>
      <c r="R81" s="192" t="s">
        <v>66</v>
      </c>
      <c r="S81" s="205" t="s">
        <v>1324</v>
      </c>
      <c r="T81" s="205" t="s">
        <v>1326</v>
      </c>
      <c r="U81" s="193">
        <v>2021</v>
      </c>
      <c r="V81" s="110"/>
      <c r="W81" s="110"/>
      <c r="X81" s="110"/>
    </row>
    <row r="82" spans="1:25" ht="39" customHeight="1" x14ac:dyDescent="0.25">
      <c r="A82" s="49" t="s">
        <v>1482</v>
      </c>
      <c r="B82" s="279" t="s">
        <v>508</v>
      </c>
      <c r="C82" s="74" t="s">
        <v>73</v>
      </c>
      <c r="D82" s="14" t="s">
        <v>1584</v>
      </c>
      <c r="E82" s="14" t="s">
        <v>1591</v>
      </c>
      <c r="F82" s="14" t="s">
        <v>1436</v>
      </c>
      <c r="G82" s="14" t="s">
        <v>1236</v>
      </c>
      <c r="H82" s="21" t="s">
        <v>1586</v>
      </c>
      <c r="I82" s="21" t="s">
        <v>858</v>
      </c>
      <c r="J82" s="21"/>
      <c r="K82" s="200">
        <f t="shared" si="17"/>
        <v>283535</v>
      </c>
      <c r="L82" s="201">
        <v>42530</v>
      </c>
      <c r="M82" s="202">
        <v>0</v>
      </c>
      <c r="N82" s="202">
        <v>0</v>
      </c>
      <c r="O82" s="202">
        <v>0</v>
      </c>
      <c r="P82" s="201">
        <v>241005</v>
      </c>
      <c r="Q82" s="200">
        <v>0</v>
      </c>
      <c r="R82" s="192" t="s">
        <v>1342</v>
      </c>
      <c r="S82" s="205" t="s">
        <v>1348</v>
      </c>
      <c r="T82" s="205" t="s">
        <v>138</v>
      </c>
      <c r="U82" s="193">
        <v>2019</v>
      </c>
      <c r="V82" s="110"/>
      <c r="W82" s="110"/>
      <c r="X82" s="110"/>
    </row>
    <row r="83" spans="1:25" ht="39" customHeight="1" x14ac:dyDescent="0.25">
      <c r="A83" s="49" t="s">
        <v>1487</v>
      </c>
      <c r="B83" s="279" t="s">
        <v>509</v>
      </c>
      <c r="C83" s="74" t="s">
        <v>35</v>
      </c>
      <c r="D83" s="14" t="s">
        <v>1584</v>
      </c>
      <c r="E83" s="14" t="s">
        <v>1591</v>
      </c>
      <c r="F83" s="14" t="s">
        <v>1436</v>
      </c>
      <c r="G83" s="14" t="s">
        <v>1236</v>
      </c>
      <c r="H83" s="21" t="s">
        <v>1586</v>
      </c>
      <c r="I83" s="21" t="s">
        <v>858</v>
      </c>
      <c r="J83" s="21"/>
      <c r="K83" s="200">
        <f t="shared" si="17"/>
        <v>222000</v>
      </c>
      <c r="L83" s="201">
        <v>33300</v>
      </c>
      <c r="M83" s="202">
        <v>0</v>
      </c>
      <c r="N83" s="202">
        <v>0</v>
      </c>
      <c r="O83" s="202">
        <v>0</v>
      </c>
      <c r="P83" s="201">
        <v>188700</v>
      </c>
      <c r="Q83" s="200">
        <v>0</v>
      </c>
      <c r="R83" s="192" t="s">
        <v>1342</v>
      </c>
      <c r="S83" s="205" t="s">
        <v>1348</v>
      </c>
      <c r="T83" s="205" t="s">
        <v>138</v>
      </c>
      <c r="U83" s="193">
        <v>2020</v>
      </c>
      <c r="V83" s="110"/>
      <c r="W83" s="110"/>
      <c r="X83" s="110"/>
    </row>
    <row r="84" spans="1:25" ht="39" customHeight="1" x14ac:dyDescent="0.25">
      <c r="A84" s="49" t="s">
        <v>51</v>
      </c>
      <c r="B84" s="279" t="s">
        <v>510</v>
      </c>
      <c r="C84" s="74" t="s">
        <v>52</v>
      </c>
      <c r="D84" s="14" t="s">
        <v>1580</v>
      </c>
      <c r="E84" s="14" t="s">
        <v>1591</v>
      </c>
      <c r="F84" s="14" t="s">
        <v>1456</v>
      </c>
      <c r="G84" s="14" t="s">
        <v>1236</v>
      </c>
      <c r="H84" s="21" t="s">
        <v>1586</v>
      </c>
      <c r="I84" s="21"/>
      <c r="J84" s="21"/>
      <c r="K84" s="200">
        <f t="shared" si="17"/>
        <v>375452.99</v>
      </c>
      <c r="L84" s="201">
        <v>28158.97</v>
      </c>
      <c r="M84" s="202">
        <v>0</v>
      </c>
      <c r="N84" s="202">
        <v>0</v>
      </c>
      <c r="O84" s="202">
        <v>28158.97</v>
      </c>
      <c r="P84" s="201">
        <v>319135.05</v>
      </c>
      <c r="Q84" s="200">
        <v>0</v>
      </c>
      <c r="R84" s="192" t="s">
        <v>1320</v>
      </c>
      <c r="S84" s="205" t="s">
        <v>1347</v>
      </c>
      <c r="T84" s="205" t="s">
        <v>108</v>
      </c>
      <c r="U84" s="193">
        <v>2023</v>
      </c>
      <c r="V84" s="110"/>
      <c r="W84" s="110"/>
      <c r="X84" s="110"/>
    </row>
    <row r="85" spans="1:25" ht="39" customHeight="1" x14ac:dyDescent="0.25">
      <c r="A85" s="49" t="s">
        <v>53</v>
      </c>
      <c r="B85" s="279" t="s">
        <v>511</v>
      </c>
      <c r="C85" s="74" t="s">
        <v>54</v>
      </c>
      <c r="D85" s="14" t="s">
        <v>1580</v>
      </c>
      <c r="E85" s="14" t="s">
        <v>1591</v>
      </c>
      <c r="F85" s="14" t="s">
        <v>1456</v>
      </c>
      <c r="G85" s="14" t="s">
        <v>1236</v>
      </c>
      <c r="H85" s="21" t="s">
        <v>1586</v>
      </c>
      <c r="I85" s="21"/>
      <c r="J85" s="21" t="s">
        <v>797</v>
      </c>
      <c r="K85" s="200">
        <f t="shared" si="17"/>
        <v>111500</v>
      </c>
      <c r="L85" s="201">
        <v>8362.5</v>
      </c>
      <c r="M85" s="202">
        <v>0</v>
      </c>
      <c r="N85" s="202">
        <v>0</v>
      </c>
      <c r="O85" s="202">
        <v>8362.5</v>
      </c>
      <c r="P85" s="201">
        <v>94775</v>
      </c>
      <c r="Q85" s="200">
        <v>0</v>
      </c>
      <c r="R85" s="192" t="s">
        <v>1321</v>
      </c>
      <c r="S85" s="205" t="s">
        <v>1345</v>
      </c>
      <c r="T85" s="205" t="s">
        <v>1344</v>
      </c>
      <c r="U85" s="193">
        <v>2023</v>
      </c>
      <c r="V85" s="110"/>
      <c r="W85" s="110"/>
      <c r="X85" s="110"/>
    </row>
    <row r="86" spans="1:25" ht="39" customHeight="1" x14ac:dyDescent="0.25">
      <c r="A86" s="434" t="s">
        <v>961</v>
      </c>
      <c r="B86" s="478"/>
      <c r="C86" s="434" t="s">
        <v>1599</v>
      </c>
      <c r="D86" s="436" t="s">
        <v>1550</v>
      </c>
      <c r="E86" s="436" t="s">
        <v>1550</v>
      </c>
      <c r="F86" s="436" t="s">
        <v>1550</v>
      </c>
      <c r="G86" s="436" t="s">
        <v>1550</v>
      </c>
      <c r="H86" s="436" t="s">
        <v>1550</v>
      </c>
      <c r="I86" s="436" t="s">
        <v>1550</v>
      </c>
      <c r="J86" s="436" t="s">
        <v>1550</v>
      </c>
      <c r="K86" s="433">
        <f t="shared" ref="K86:Q86" si="18">SUM(K87:K94)</f>
        <v>2700265.4099999997</v>
      </c>
      <c r="L86" s="433">
        <f t="shared" si="18"/>
        <v>903484.26</v>
      </c>
      <c r="M86" s="433">
        <f t="shared" si="18"/>
        <v>0</v>
      </c>
      <c r="N86" s="433">
        <f t="shared" si="18"/>
        <v>0</v>
      </c>
      <c r="O86" s="433">
        <f t="shared" si="18"/>
        <v>0</v>
      </c>
      <c r="P86" s="433">
        <f t="shared" si="18"/>
        <v>1796781.15</v>
      </c>
      <c r="Q86" s="433">
        <f t="shared" si="18"/>
        <v>0</v>
      </c>
      <c r="R86" s="435"/>
      <c r="S86" s="435"/>
      <c r="T86" s="435"/>
      <c r="U86" s="435"/>
      <c r="V86" s="110"/>
      <c r="W86" s="110"/>
      <c r="X86" s="110"/>
    </row>
    <row r="87" spans="1:25" ht="39" customHeight="1" x14ac:dyDescent="0.25">
      <c r="A87" s="49" t="s">
        <v>994</v>
      </c>
      <c r="B87" s="279" t="s">
        <v>512</v>
      </c>
      <c r="C87" s="49" t="s">
        <v>1573</v>
      </c>
      <c r="D87" s="14" t="s">
        <v>1587</v>
      </c>
      <c r="E87" s="14" t="s">
        <v>1591</v>
      </c>
      <c r="F87" s="14" t="s">
        <v>1454</v>
      </c>
      <c r="G87" s="14" t="s">
        <v>1402</v>
      </c>
      <c r="H87" s="14" t="s">
        <v>1592</v>
      </c>
      <c r="I87" s="14" t="s">
        <v>1582</v>
      </c>
      <c r="J87" s="14"/>
      <c r="K87" s="201">
        <f>L87+M87+N87+O87+P87</f>
        <v>17545</v>
      </c>
      <c r="L87" s="201">
        <v>2631.75</v>
      </c>
      <c r="M87" s="202">
        <v>0</v>
      </c>
      <c r="N87" s="202">
        <v>0</v>
      </c>
      <c r="O87" s="202">
        <v>0</v>
      </c>
      <c r="P87" s="201">
        <v>14913.25</v>
      </c>
      <c r="Q87" s="202">
        <v>0</v>
      </c>
      <c r="R87" s="192" t="s">
        <v>1342</v>
      </c>
      <c r="S87" s="192" t="s">
        <v>1317</v>
      </c>
      <c r="T87" s="192" t="s">
        <v>1320</v>
      </c>
      <c r="U87" s="192">
        <v>2017</v>
      </c>
      <c r="V87" s="111"/>
      <c r="W87" s="110"/>
      <c r="X87" s="110"/>
    </row>
    <row r="88" spans="1:25" ht="39" customHeight="1" x14ac:dyDescent="0.25">
      <c r="A88" s="49" t="s">
        <v>995</v>
      </c>
      <c r="B88" s="279" t="s">
        <v>513</v>
      </c>
      <c r="C88" s="49" t="s">
        <v>1574</v>
      </c>
      <c r="D88" s="14" t="s">
        <v>1587</v>
      </c>
      <c r="E88" s="14" t="s">
        <v>1591</v>
      </c>
      <c r="F88" s="14" t="s">
        <v>1454</v>
      </c>
      <c r="G88" s="14" t="s">
        <v>1237</v>
      </c>
      <c r="H88" s="14" t="s">
        <v>1586</v>
      </c>
      <c r="I88" s="14" t="s">
        <v>1582</v>
      </c>
      <c r="J88" s="14"/>
      <c r="K88" s="201">
        <f t="shared" ref="K88:K94" si="19">L88+M88+N88+O88+P88</f>
        <v>1127570.5900000001</v>
      </c>
      <c r="L88" s="201">
        <v>169135.59</v>
      </c>
      <c r="M88" s="202">
        <v>0</v>
      </c>
      <c r="N88" s="202">
        <v>0</v>
      </c>
      <c r="O88" s="202">
        <v>0</v>
      </c>
      <c r="P88" s="201">
        <v>958435</v>
      </c>
      <c r="Q88" s="202">
        <v>0</v>
      </c>
      <c r="R88" s="192" t="s">
        <v>1328</v>
      </c>
      <c r="S88" s="192" t="s">
        <v>1321</v>
      </c>
      <c r="T88" s="192" t="s">
        <v>1345</v>
      </c>
      <c r="U88" s="187">
        <v>2019</v>
      </c>
      <c r="V88" s="111"/>
      <c r="W88" s="110"/>
      <c r="X88" s="110"/>
    </row>
    <row r="89" spans="1:25" ht="39" customHeight="1" x14ac:dyDescent="0.25">
      <c r="A89" s="49" t="s">
        <v>996</v>
      </c>
      <c r="B89" s="279" t="s">
        <v>514</v>
      </c>
      <c r="C89" s="23" t="s">
        <v>851</v>
      </c>
      <c r="D89" s="11" t="s">
        <v>850</v>
      </c>
      <c r="E89" s="11" t="s">
        <v>1591</v>
      </c>
      <c r="F89" s="11" t="s">
        <v>1400</v>
      </c>
      <c r="G89" s="91" t="s">
        <v>1236</v>
      </c>
      <c r="H89" s="22" t="s">
        <v>1586</v>
      </c>
      <c r="I89" s="11" t="s">
        <v>1582</v>
      </c>
      <c r="J89" s="11"/>
      <c r="K89" s="201">
        <f t="shared" si="19"/>
        <v>816000</v>
      </c>
      <c r="L89" s="204">
        <v>522240</v>
      </c>
      <c r="M89" s="204">
        <v>0</v>
      </c>
      <c r="N89" s="204">
        <v>0</v>
      </c>
      <c r="O89" s="204">
        <v>0</v>
      </c>
      <c r="P89" s="204">
        <v>293760</v>
      </c>
      <c r="Q89" s="202">
        <v>0</v>
      </c>
      <c r="R89" s="188" t="s">
        <v>1318</v>
      </c>
      <c r="S89" s="188" t="s">
        <v>1325</v>
      </c>
      <c r="T89" s="188" t="s">
        <v>38</v>
      </c>
      <c r="U89" s="188">
        <v>2018</v>
      </c>
      <c r="V89" s="110"/>
      <c r="W89" s="110"/>
      <c r="X89" s="110"/>
    </row>
    <row r="90" spans="1:25" ht="39" customHeight="1" x14ac:dyDescent="0.25">
      <c r="A90" s="49" t="s">
        <v>997</v>
      </c>
      <c r="B90" s="279" t="s">
        <v>515</v>
      </c>
      <c r="C90" s="23" t="s">
        <v>852</v>
      </c>
      <c r="D90" s="11" t="s">
        <v>850</v>
      </c>
      <c r="E90" s="11" t="s">
        <v>1591</v>
      </c>
      <c r="F90" s="11" t="s">
        <v>1400</v>
      </c>
      <c r="G90" s="91" t="s">
        <v>1236</v>
      </c>
      <c r="H90" s="22" t="s">
        <v>1586</v>
      </c>
      <c r="I90" s="11" t="s">
        <v>1582</v>
      </c>
      <c r="J90" s="11"/>
      <c r="K90" s="201">
        <f t="shared" si="19"/>
        <v>100000</v>
      </c>
      <c r="L90" s="204">
        <v>64302</v>
      </c>
      <c r="M90" s="204">
        <v>0</v>
      </c>
      <c r="N90" s="204">
        <v>0</v>
      </c>
      <c r="O90" s="204">
        <v>0</v>
      </c>
      <c r="P90" s="204">
        <v>35698</v>
      </c>
      <c r="Q90" s="202">
        <v>0</v>
      </c>
      <c r="R90" s="188" t="s">
        <v>1318</v>
      </c>
      <c r="S90" s="188" t="s">
        <v>1330</v>
      </c>
      <c r="T90" s="188" t="s">
        <v>1324</v>
      </c>
      <c r="U90" s="188">
        <v>2018</v>
      </c>
      <c r="V90" s="110"/>
      <c r="W90" s="110"/>
      <c r="X90" s="110"/>
    </row>
    <row r="91" spans="1:25" ht="39" customHeight="1" x14ac:dyDescent="0.25">
      <c r="A91" s="49" t="s">
        <v>998</v>
      </c>
      <c r="B91" s="279" t="s">
        <v>516</v>
      </c>
      <c r="C91" s="23" t="s">
        <v>336</v>
      </c>
      <c r="D91" s="11" t="s">
        <v>850</v>
      </c>
      <c r="E91" s="11" t="s">
        <v>1591</v>
      </c>
      <c r="F91" s="11" t="s">
        <v>1400</v>
      </c>
      <c r="G91" s="91" t="s">
        <v>1236</v>
      </c>
      <c r="H91" s="22" t="s">
        <v>1586</v>
      </c>
      <c r="I91" s="11" t="s">
        <v>1582</v>
      </c>
      <c r="J91" s="11"/>
      <c r="K91" s="201">
        <f t="shared" si="19"/>
        <v>100000</v>
      </c>
      <c r="L91" s="204">
        <v>64302</v>
      </c>
      <c r="M91" s="204">
        <v>0</v>
      </c>
      <c r="N91" s="204">
        <v>0</v>
      </c>
      <c r="O91" s="204">
        <v>0</v>
      </c>
      <c r="P91" s="204">
        <v>35698</v>
      </c>
      <c r="Q91" s="202">
        <v>0</v>
      </c>
      <c r="R91" s="188" t="s">
        <v>1321</v>
      </c>
      <c r="S91" s="188" t="s">
        <v>1330</v>
      </c>
      <c r="T91" s="188" t="s">
        <v>66</v>
      </c>
      <c r="U91" s="188">
        <v>2018</v>
      </c>
      <c r="V91" s="110"/>
      <c r="W91" s="110"/>
      <c r="X91" s="110"/>
    </row>
    <row r="92" spans="1:25" ht="39" customHeight="1" x14ac:dyDescent="0.25">
      <c r="A92" s="49" t="s">
        <v>999</v>
      </c>
      <c r="B92" s="279" t="s">
        <v>517</v>
      </c>
      <c r="C92" s="23" t="s">
        <v>1144</v>
      </c>
      <c r="D92" s="11" t="s">
        <v>1145</v>
      </c>
      <c r="E92" s="11" t="s">
        <v>1591</v>
      </c>
      <c r="F92" s="11" t="s">
        <v>1147</v>
      </c>
      <c r="G92" s="12" t="s">
        <v>1237</v>
      </c>
      <c r="H92" s="11" t="s">
        <v>1586</v>
      </c>
      <c r="I92" s="11"/>
      <c r="J92" s="11"/>
      <c r="K92" s="201">
        <f t="shared" si="19"/>
        <v>282922.82</v>
      </c>
      <c r="L92" s="201">
        <v>42438.42</v>
      </c>
      <c r="M92" s="201">
        <v>0</v>
      </c>
      <c r="N92" s="201">
        <v>0</v>
      </c>
      <c r="O92" s="201">
        <v>0</v>
      </c>
      <c r="P92" s="201">
        <v>240484.4</v>
      </c>
      <c r="Q92" s="202">
        <v>0</v>
      </c>
      <c r="R92" s="188" t="s">
        <v>1324</v>
      </c>
      <c r="S92" s="188" t="s">
        <v>1348</v>
      </c>
      <c r="T92" s="188" t="s">
        <v>1327</v>
      </c>
      <c r="U92" s="188">
        <v>2020</v>
      </c>
      <c r="V92" s="111"/>
      <c r="W92" s="111"/>
      <c r="X92" s="111"/>
      <c r="Y92" s="73"/>
    </row>
    <row r="93" spans="1:25" ht="39" customHeight="1" x14ac:dyDescent="0.25">
      <c r="A93" s="49" t="s">
        <v>1000</v>
      </c>
      <c r="B93" s="279" t="s">
        <v>518</v>
      </c>
      <c r="C93" s="23" t="s">
        <v>1187</v>
      </c>
      <c r="D93" s="10" t="s">
        <v>1145</v>
      </c>
      <c r="E93" s="10" t="s">
        <v>1591</v>
      </c>
      <c r="F93" s="10" t="s">
        <v>1147</v>
      </c>
      <c r="G93" s="12" t="s">
        <v>1402</v>
      </c>
      <c r="H93" s="10" t="s">
        <v>1592</v>
      </c>
      <c r="I93" s="10"/>
      <c r="J93" s="10"/>
      <c r="K93" s="201">
        <f t="shared" si="19"/>
        <v>15050</v>
      </c>
      <c r="L93" s="201">
        <v>2257.5</v>
      </c>
      <c r="M93" s="201">
        <v>0</v>
      </c>
      <c r="N93" s="201">
        <v>0</v>
      </c>
      <c r="O93" s="201">
        <v>0</v>
      </c>
      <c r="P93" s="201">
        <v>12792.5</v>
      </c>
      <c r="Q93" s="202">
        <v>0</v>
      </c>
      <c r="R93" s="188" t="s">
        <v>803</v>
      </c>
      <c r="S93" s="188" t="s">
        <v>1320</v>
      </c>
      <c r="T93" s="188" t="s">
        <v>1343</v>
      </c>
      <c r="U93" s="188">
        <v>2018</v>
      </c>
      <c r="V93" s="111"/>
      <c r="W93" s="111"/>
      <c r="X93" s="111"/>
      <c r="Y93" s="73"/>
    </row>
    <row r="94" spans="1:25" ht="39" customHeight="1" x14ac:dyDescent="0.25">
      <c r="A94" s="49" t="s">
        <v>1001</v>
      </c>
      <c r="B94" s="279" t="s">
        <v>519</v>
      </c>
      <c r="C94" s="23" t="s">
        <v>337</v>
      </c>
      <c r="D94" s="11" t="s">
        <v>850</v>
      </c>
      <c r="E94" s="11" t="s">
        <v>1591</v>
      </c>
      <c r="F94" s="11" t="s">
        <v>1400</v>
      </c>
      <c r="G94" s="12" t="s">
        <v>1402</v>
      </c>
      <c r="H94" s="22" t="s">
        <v>1592</v>
      </c>
      <c r="I94" s="11" t="s">
        <v>858</v>
      </c>
      <c r="J94" s="11"/>
      <c r="K94" s="201">
        <f t="shared" si="19"/>
        <v>241177</v>
      </c>
      <c r="L94" s="190">
        <v>36177</v>
      </c>
      <c r="M94" s="190">
        <v>0</v>
      </c>
      <c r="N94" s="190">
        <v>0</v>
      </c>
      <c r="O94" s="190">
        <v>0</v>
      </c>
      <c r="P94" s="190">
        <v>205000</v>
      </c>
      <c r="Q94" s="202">
        <v>0</v>
      </c>
      <c r="R94" s="188" t="s">
        <v>1317</v>
      </c>
      <c r="S94" s="188" t="s">
        <v>1330</v>
      </c>
      <c r="T94" s="188" t="s">
        <v>66</v>
      </c>
      <c r="U94" s="188">
        <v>2018</v>
      </c>
      <c r="V94" s="110"/>
      <c r="W94" s="110"/>
      <c r="X94" s="110"/>
    </row>
    <row r="95" spans="1:25" ht="39" customHeight="1" x14ac:dyDescent="0.25">
      <c r="A95" s="434" t="s">
        <v>962</v>
      </c>
      <c r="B95" s="478"/>
      <c r="C95" s="434" t="s">
        <v>1600</v>
      </c>
      <c r="D95" s="436" t="s">
        <v>1550</v>
      </c>
      <c r="E95" s="436" t="s">
        <v>1550</v>
      </c>
      <c r="F95" s="436" t="s">
        <v>1550</v>
      </c>
      <c r="G95" s="436" t="s">
        <v>1550</v>
      </c>
      <c r="H95" s="436" t="s">
        <v>1550</v>
      </c>
      <c r="I95" s="436" t="s">
        <v>1550</v>
      </c>
      <c r="J95" s="436" t="s">
        <v>1550</v>
      </c>
      <c r="K95" s="433">
        <f t="shared" ref="K95:Q95" si="20">SUM(K96:K106)</f>
        <v>2462865.25</v>
      </c>
      <c r="L95" s="433">
        <f t="shared" si="20"/>
        <v>366316.94000000006</v>
      </c>
      <c r="M95" s="433">
        <f t="shared" si="20"/>
        <v>0</v>
      </c>
      <c r="N95" s="433">
        <f t="shared" si="20"/>
        <v>0</v>
      </c>
      <c r="O95" s="433">
        <f t="shared" si="20"/>
        <v>20757.37</v>
      </c>
      <c r="P95" s="433">
        <f t="shared" si="20"/>
        <v>2075790.94</v>
      </c>
      <c r="Q95" s="433">
        <f t="shared" si="20"/>
        <v>0</v>
      </c>
      <c r="R95" s="435"/>
      <c r="S95" s="435"/>
      <c r="T95" s="435"/>
      <c r="U95" s="435"/>
      <c r="V95" s="110"/>
      <c r="W95" s="110"/>
      <c r="X95" s="110"/>
    </row>
    <row r="96" spans="1:25" ht="39" customHeight="1" x14ac:dyDescent="0.25">
      <c r="A96" s="49" t="s">
        <v>1002</v>
      </c>
      <c r="B96" s="279" t="s">
        <v>520</v>
      </c>
      <c r="C96" s="49" t="s">
        <v>1576</v>
      </c>
      <c r="D96" s="14" t="s">
        <v>1587</v>
      </c>
      <c r="E96" s="14" t="s">
        <v>1591</v>
      </c>
      <c r="F96" s="14" t="s">
        <v>1454</v>
      </c>
      <c r="G96" s="14" t="s">
        <v>1238</v>
      </c>
      <c r="H96" s="14" t="s">
        <v>1586</v>
      </c>
      <c r="I96" s="14" t="s">
        <v>1582</v>
      </c>
      <c r="J96" s="14"/>
      <c r="K96" s="201">
        <f>L96+M96+N96+O96+P96</f>
        <v>201710.73</v>
      </c>
      <c r="L96" s="201">
        <v>27143.01</v>
      </c>
      <c r="M96" s="202">
        <v>0</v>
      </c>
      <c r="N96" s="202">
        <v>0</v>
      </c>
      <c r="O96" s="202">
        <v>20757.37</v>
      </c>
      <c r="P96" s="201">
        <v>153810.35</v>
      </c>
      <c r="Q96" s="202">
        <v>0</v>
      </c>
      <c r="R96" s="192" t="s">
        <v>1318</v>
      </c>
      <c r="S96" s="192" t="s">
        <v>38</v>
      </c>
      <c r="T96" s="192" t="s">
        <v>1346</v>
      </c>
      <c r="U96" s="192" t="s">
        <v>139</v>
      </c>
      <c r="V96" s="110"/>
      <c r="W96" s="110"/>
      <c r="X96" s="110"/>
    </row>
    <row r="97" spans="1:24" ht="39" customHeight="1" x14ac:dyDescent="0.25">
      <c r="A97" s="49" t="s">
        <v>1003</v>
      </c>
      <c r="B97" s="279" t="s">
        <v>521</v>
      </c>
      <c r="C97" s="39" t="s">
        <v>1578</v>
      </c>
      <c r="D97" s="90" t="s">
        <v>1580</v>
      </c>
      <c r="E97" s="90" t="s">
        <v>1591</v>
      </c>
      <c r="F97" s="90" t="s">
        <v>1456</v>
      </c>
      <c r="G97" s="8" t="s">
        <v>1238</v>
      </c>
      <c r="H97" s="90" t="s">
        <v>1586</v>
      </c>
      <c r="I97" s="90" t="s">
        <v>1582</v>
      </c>
      <c r="J97" s="90"/>
      <c r="K97" s="201">
        <f t="shared" ref="K97:K106" si="21">L97+M97+N97+O97+P97</f>
        <v>121173.04999999999</v>
      </c>
      <c r="L97" s="199">
        <v>18175.96</v>
      </c>
      <c r="M97" s="200">
        <v>0</v>
      </c>
      <c r="N97" s="200">
        <v>0</v>
      </c>
      <c r="O97" s="200">
        <v>0</v>
      </c>
      <c r="P97" s="199">
        <v>102997.09</v>
      </c>
      <c r="Q97" s="202">
        <v>0</v>
      </c>
      <c r="R97" s="195" t="s">
        <v>1317</v>
      </c>
      <c r="S97" s="195" t="s">
        <v>1345</v>
      </c>
      <c r="T97" s="195" t="s">
        <v>1345</v>
      </c>
      <c r="U97" s="195">
        <v>2020</v>
      </c>
      <c r="V97" s="110"/>
      <c r="W97" s="110"/>
      <c r="X97" s="110"/>
    </row>
    <row r="98" spans="1:24" ht="39" customHeight="1" x14ac:dyDescent="0.25">
      <c r="A98" s="49" t="s">
        <v>1004</v>
      </c>
      <c r="B98" s="279" t="s">
        <v>522</v>
      </c>
      <c r="C98" s="68" t="s">
        <v>1315</v>
      </c>
      <c r="D98" s="11" t="s">
        <v>1589</v>
      </c>
      <c r="E98" s="11" t="s">
        <v>1591</v>
      </c>
      <c r="F98" s="11" t="s">
        <v>1441</v>
      </c>
      <c r="G98" s="8" t="s">
        <v>1237</v>
      </c>
      <c r="H98" s="11" t="s">
        <v>1586</v>
      </c>
      <c r="I98" s="11" t="s">
        <v>1582</v>
      </c>
      <c r="J98" s="11"/>
      <c r="K98" s="201">
        <f t="shared" si="21"/>
        <v>347544</v>
      </c>
      <c r="L98" s="201">
        <v>52132</v>
      </c>
      <c r="M98" s="202">
        <v>0</v>
      </c>
      <c r="N98" s="202">
        <v>0</v>
      </c>
      <c r="O98" s="202">
        <v>0</v>
      </c>
      <c r="P98" s="201">
        <v>295412</v>
      </c>
      <c r="Q98" s="202">
        <v>0</v>
      </c>
      <c r="R98" s="188" t="s">
        <v>1330</v>
      </c>
      <c r="S98" s="188" t="s">
        <v>66</v>
      </c>
      <c r="T98" s="188" t="s">
        <v>1326</v>
      </c>
      <c r="U98" s="188">
        <v>2020</v>
      </c>
      <c r="V98" s="110"/>
      <c r="W98" s="110"/>
      <c r="X98" s="110"/>
    </row>
    <row r="99" spans="1:24" ht="39" customHeight="1" x14ac:dyDescent="0.25">
      <c r="A99" s="49" t="s">
        <v>1005</v>
      </c>
      <c r="B99" s="279" t="s">
        <v>523</v>
      </c>
      <c r="C99" s="39" t="s">
        <v>1489</v>
      </c>
      <c r="D99" s="90" t="s">
        <v>1584</v>
      </c>
      <c r="E99" s="90" t="s">
        <v>1591</v>
      </c>
      <c r="F99" s="90" t="s">
        <v>1436</v>
      </c>
      <c r="G99" s="90" t="s">
        <v>1238</v>
      </c>
      <c r="H99" s="90" t="s">
        <v>1586</v>
      </c>
      <c r="I99" s="14" t="s">
        <v>1582</v>
      </c>
      <c r="J99" s="90"/>
      <c r="K99" s="201">
        <f t="shared" si="21"/>
        <v>162934.70000000001</v>
      </c>
      <c r="L99" s="199">
        <v>24440.2</v>
      </c>
      <c r="M99" s="200">
        <v>0</v>
      </c>
      <c r="N99" s="200">
        <v>0</v>
      </c>
      <c r="O99" s="200">
        <v>0</v>
      </c>
      <c r="P99" s="199">
        <v>138494.5</v>
      </c>
      <c r="Q99" s="202">
        <v>0</v>
      </c>
      <c r="R99" s="195" t="s">
        <v>803</v>
      </c>
      <c r="S99" s="195" t="s">
        <v>66</v>
      </c>
      <c r="T99" s="195" t="s">
        <v>38</v>
      </c>
      <c r="U99" s="195">
        <v>2018</v>
      </c>
      <c r="V99" s="110"/>
      <c r="W99" s="110"/>
      <c r="X99" s="110"/>
    </row>
    <row r="100" spans="1:24" ht="39" customHeight="1" x14ac:dyDescent="0.25">
      <c r="A100" s="39" t="s">
        <v>1006</v>
      </c>
      <c r="B100" s="279" t="s">
        <v>524</v>
      </c>
      <c r="C100" s="30" t="s">
        <v>67</v>
      </c>
      <c r="D100" s="27" t="s">
        <v>1590</v>
      </c>
      <c r="E100" s="27" t="s">
        <v>1591</v>
      </c>
      <c r="F100" s="27" t="s">
        <v>1446</v>
      </c>
      <c r="G100" s="27" t="s">
        <v>1238</v>
      </c>
      <c r="H100" s="38" t="s">
        <v>1586</v>
      </c>
      <c r="I100" s="208"/>
      <c r="J100" s="27"/>
      <c r="K100" s="201">
        <f t="shared" si="21"/>
        <v>268554.72000000003</v>
      </c>
      <c r="L100" s="199">
        <v>40283.21</v>
      </c>
      <c r="M100" s="199">
        <v>0</v>
      </c>
      <c r="N100" s="199">
        <v>0</v>
      </c>
      <c r="O100" s="199">
        <v>0</v>
      </c>
      <c r="P100" s="199">
        <v>228271.51</v>
      </c>
      <c r="Q100" s="202">
        <v>0</v>
      </c>
      <c r="R100" s="209" t="s">
        <v>1344</v>
      </c>
      <c r="S100" s="326" t="s">
        <v>38</v>
      </c>
      <c r="T100" s="326" t="s">
        <v>1346</v>
      </c>
      <c r="U100" s="209">
        <v>2020</v>
      </c>
      <c r="V100" s="111"/>
      <c r="W100" s="111"/>
      <c r="X100" s="111"/>
    </row>
    <row r="101" spans="1:24" ht="39" customHeight="1" x14ac:dyDescent="0.25">
      <c r="A101" s="49" t="s">
        <v>1007</v>
      </c>
      <c r="B101" s="279" t="s">
        <v>525</v>
      </c>
      <c r="C101" s="30" t="s">
        <v>22</v>
      </c>
      <c r="D101" s="13" t="s">
        <v>1443</v>
      </c>
      <c r="E101" s="13" t="s">
        <v>1591</v>
      </c>
      <c r="F101" s="34" t="s">
        <v>1455</v>
      </c>
      <c r="G101" s="27" t="s">
        <v>1238</v>
      </c>
      <c r="H101" s="13" t="s">
        <v>1586</v>
      </c>
      <c r="I101" s="10" t="s">
        <v>858</v>
      </c>
      <c r="J101" s="10"/>
      <c r="K101" s="201">
        <f>L101+M101+N101+O101+P101</f>
        <v>224271</v>
      </c>
      <c r="L101" s="202">
        <v>33641</v>
      </c>
      <c r="M101" s="201">
        <v>0</v>
      </c>
      <c r="N101" s="201">
        <v>0</v>
      </c>
      <c r="O101" s="201">
        <v>0</v>
      </c>
      <c r="P101" s="202">
        <v>190630</v>
      </c>
      <c r="Q101" s="202">
        <v>0</v>
      </c>
      <c r="R101" s="202" t="s">
        <v>1320</v>
      </c>
      <c r="S101" s="202" t="s">
        <v>1349</v>
      </c>
      <c r="T101" s="202" t="s">
        <v>1350</v>
      </c>
      <c r="U101" s="210">
        <v>2020</v>
      </c>
      <c r="V101" s="110"/>
      <c r="W101" s="110"/>
      <c r="X101" s="110"/>
    </row>
    <row r="102" spans="1:24" ht="39" customHeight="1" x14ac:dyDescent="0.25">
      <c r="A102" s="39" t="s">
        <v>1008</v>
      </c>
      <c r="B102" s="279" t="s">
        <v>526</v>
      </c>
      <c r="C102" s="23" t="s">
        <v>1403</v>
      </c>
      <c r="D102" s="10" t="s">
        <v>850</v>
      </c>
      <c r="E102" s="10" t="s">
        <v>1591</v>
      </c>
      <c r="F102" s="10" t="s">
        <v>1400</v>
      </c>
      <c r="G102" s="9" t="s">
        <v>1238</v>
      </c>
      <c r="H102" s="24" t="s">
        <v>1586</v>
      </c>
      <c r="I102" s="10" t="s">
        <v>1582</v>
      </c>
      <c r="J102" s="10"/>
      <c r="K102" s="201">
        <f t="shared" si="21"/>
        <v>394544.07</v>
      </c>
      <c r="L102" s="204">
        <v>59181.61</v>
      </c>
      <c r="M102" s="204">
        <v>0</v>
      </c>
      <c r="N102" s="204">
        <v>0</v>
      </c>
      <c r="O102" s="204">
        <v>0</v>
      </c>
      <c r="P102" s="204">
        <v>335362.46000000002</v>
      </c>
      <c r="Q102" s="202">
        <v>0</v>
      </c>
      <c r="R102" s="188" t="s">
        <v>1320</v>
      </c>
      <c r="S102" s="188" t="s">
        <v>1343</v>
      </c>
      <c r="T102" s="188" t="s">
        <v>1321</v>
      </c>
      <c r="U102" s="188">
        <v>2018</v>
      </c>
      <c r="V102" s="110"/>
      <c r="W102" s="110"/>
      <c r="X102" s="110"/>
    </row>
    <row r="103" spans="1:24" ht="39" customHeight="1" x14ac:dyDescent="0.25">
      <c r="A103" s="39" t="s">
        <v>1009</v>
      </c>
      <c r="B103" s="279" t="s">
        <v>527</v>
      </c>
      <c r="C103" s="23" t="s">
        <v>437</v>
      </c>
      <c r="D103" s="10" t="s">
        <v>850</v>
      </c>
      <c r="E103" s="10" t="s">
        <v>1591</v>
      </c>
      <c r="F103" s="10" t="s">
        <v>1400</v>
      </c>
      <c r="G103" s="9" t="s">
        <v>1238</v>
      </c>
      <c r="H103" s="24" t="s">
        <v>1586</v>
      </c>
      <c r="I103" s="10" t="s">
        <v>1582</v>
      </c>
      <c r="J103" s="10"/>
      <c r="K103" s="201">
        <f t="shared" si="21"/>
        <v>211764.71</v>
      </c>
      <c r="L103" s="204">
        <v>31764.71</v>
      </c>
      <c r="M103" s="204">
        <v>0</v>
      </c>
      <c r="N103" s="204">
        <v>0</v>
      </c>
      <c r="O103" s="204">
        <v>0</v>
      </c>
      <c r="P103" s="204">
        <v>180000</v>
      </c>
      <c r="Q103" s="202">
        <v>0</v>
      </c>
      <c r="R103" s="188" t="s">
        <v>1321</v>
      </c>
      <c r="S103" s="188" t="s">
        <v>1316</v>
      </c>
      <c r="T103" s="188" t="s">
        <v>1344</v>
      </c>
      <c r="U103" s="188">
        <v>2018</v>
      </c>
      <c r="V103" s="110"/>
      <c r="W103" s="110"/>
      <c r="X103" s="110"/>
    </row>
    <row r="104" spans="1:24" ht="39" customHeight="1" x14ac:dyDescent="0.25">
      <c r="A104" s="39" t="s">
        <v>1010</v>
      </c>
      <c r="B104" s="279" t="s">
        <v>528</v>
      </c>
      <c r="C104" s="23" t="s">
        <v>78</v>
      </c>
      <c r="D104" s="10" t="s">
        <v>1145</v>
      </c>
      <c r="E104" s="10" t="s">
        <v>1591</v>
      </c>
      <c r="F104" s="10" t="s">
        <v>1147</v>
      </c>
      <c r="G104" s="9" t="s">
        <v>1238</v>
      </c>
      <c r="H104" s="10" t="s">
        <v>1586</v>
      </c>
      <c r="I104" s="10"/>
      <c r="J104" s="10"/>
      <c r="K104" s="201">
        <f t="shared" si="21"/>
        <v>108387.18000000001</v>
      </c>
      <c r="L104" s="202">
        <v>16258.08</v>
      </c>
      <c r="M104" s="201">
        <v>0</v>
      </c>
      <c r="N104" s="201">
        <v>0</v>
      </c>
      <c r="O104" s="201">
        <v>0</v>
      </c>
      <c r="P104" s="202">
        <v>92129.1</v>
      </c>
      <c r="Q104" s="202">
        <v>0</v>
      </c>
      <c r="R104" s="187" t="s">
        <v>1330</v>
      </c>
      <c r="S104" s="188" t="s">
        <v>1327</v>
      </c>
      <c r="T104" s="188" t="s">
        <v>61</v>
      </c>
      <c r="U104" s="189">
        <v>2020</v>
      </c>
      <c r="V104" s="110"/>
      <c r="W104" s="110"/>
      <c r="X104" s="110"/>
    </row>
    <row r="105" spans="1:24" ht="39" customHeight="1" x14ac:dyDescent="0.25">
      <c r="A105" s="39" t="s">
        <v>1011</v>
      </c>
      <c r="B105" s="279" t="s">
        <v>529</v>
      </c>
      <c r="C105" s="23" t="s">
        <v>55</v>
      </c>
      <c r="D105" s="10" t="s">
        <v>1580</v>
      </c>
      <c r="E105" s="10" t="s">
        <v>1591</v>
      </c>
      <c r="F105" s="10" t="s">
        <v>1456</v>
      </c>
      <c r="G105" s="9" t="s">
        <v>1238</v>
      </c>
      <c r="H105" s="10" t="s">
        <v>1586</v>
      </c>
      <c r="I105" s="10"/>
      <c r="J105" s="10" t="s">
        <v>797</v>
      </c>
      <c r="K105" s="201">
        <f t="shared" si="21"/>
        <v>186205</v>
      </c>
      <c r="L105" s="202">
        <v>27930.75</v>
      </c>
      <c r="M105" s="201">
        <v>0</v>
      </c>
      <c r="N105" s="201">
        <v>0</v>
      </c>
      <c r="O105" s="201">
        <v>0</v>
      </c>
      <c r="P105" s="202">
        <v>158274.25</v>
      </c>
      <c r="Q105" s="202">
        <v>0</v>
      </c>
      <c r="R105" s="187" t="s">
        <v>61</v>
      </c>
      <c r="S105" s="188" t="s">
        <v>62</v>
      </c>
      <c r="T105" s="188" t="s">
        <v>63</v>
      </c>
      <c r="U105" s="189">
        <v>2020</v>
      </c>
      <c r="V105" s="110"/>
      <c r="W105" s="110"/>
      <c r="X105" s="110"/>
    </row>
    <row r="106" spans="1:24" ht="39" customHeight="1" x14ac:dyDescent="0.25">
      <c r="A106" s="39" t="s">
        <v>1146</v>
      </c>
      <c r="B106" s="279" t="s">
        <v>530</v>
      </c>
      <c r="C106" s="23" t="s">
        <v>60</v>
      </c>
      <c r="D106" s="10" t="s">
        <v>1589</v>
      </c>
      <c r="E106" s="10" t="s">
        <v>1591</v>
      </c>
      <c r="F106" s="10" t="s">
        <v>1441</v>
      </c>
      <c r="G106" s="9" t="s">
        <v>1238</v>
      </c>
      <c r="H106" s="10" t="s">
        <v>1586</v>
      </c>
      <c r="I106" s="10"/>
      <c r="J106" s="10"/>
      <c r="K106" s="201">
        <f t="shared" si="21"/>
        <v>235776.09</v>
      </c>
      <c r="L106" s="202">
        <v>35366.410000000003</v>
      </c>
      <c r="M106" s="201">
        <v>0</v>
      </c>
      <c r="N106" s="201">
        <v>0</v>
      </c>
      <c r="O106" s="201">
        <v>0</v>
      </c>
      <c r="P106" s="202">
        <v>200409.68</v>
      </c>
      <c r="Q106" s="202">
        <v>0</v>
      </c>
      <c r="R106" s="187" t="s">
        <v>1319</v>
      </c>
      <c r="S106" s="188" t="s">
        <v>1348</v>
      </c>
      <c r="T106" s="188" t="s">
        <v>1347</v>
      </c>
      <c r="U106" s="189">
        <v>2020</v>
      </c>
      <c r="V106" s="110"/>
      <c r="W106" s="110"/>
      <c r="X106" s="110"/>
    </row>
    <row r="107" spans="1:24" ht="39" customHeight="1" x14ac:dyDescent="0.25">
      <c r="A107" s="434" t="s">
        <v>963</v>
      </c>
      <c r="B107" s="478"/>
      <c r="C107" s="434" t="s">
        <v>1601</v>
      </c>
      <c r="D107" s="436" t="s">
        <v>1550</v>
      </c>
      <c r="E107" s="436" t="s">
        <v>1550</v>
      </c>
      <c r="F107" s="436" t="s">
        <v>1550</v>
      </c>
      <c r="G107" s="436" t="s">
        <v>1550</v>
      </c>
      <c r="H107" s="436" t="s">
        <v>1550</v>
      </c>
      <c r="I107" s="436" t="s">
        <v>1550</v>
      </c>
      <c r="J107" s="436" t="s">
        <v>1550</v>
      </c>
      <c r="K107" s="433">
        <f t="shared" ref="K107:Q107" si="22">K108+K109</f>
        <v>1155023.25</v>
      </c>
      <c r="L107" s="433">
        <f t="shared" si="22"/>
        <v>282873.05</v>
      </c>
      <c r="M107" s="433">
        <f t="shared" si="22"/>
        <v>0</v>
      </c>
      <c r="N107" s="433">
        <f t="shared" si="22"/>
        <v>0</v>
      </c>
      <c r="O107" s="433">
        <f t="shared" si="22"/>
        <v>0</v>
      </c>
      <c r="P107" s="433">
        <f t="shared" si="22"/>
        <v>872150.2</v>
      </c>
      <c r="Q107" s="433">
        <f t="shared" si="22"/>
        <v>0</v>
      </c>
      <c r="R107" s="435"/>
      <c r="S107" s="435"/>
      <c r="T107" s="435"/>
      <c r="U107" s="435"/>
      <c r="V107" s="110"/>
      <c r="W107" s="110"/>
      <c r="X107" s="110"/>
    </row>
    <row r="108" spans="1:24" ht="39" customHeight="1" x14ac:dyDescent="0.25">
      <c r="A108" s="49" t="s">
        <v>1012</v>
      </c>
      <c r="B108" s="279" t="s">
        <v>531</v>
      </c>
      <c r="C108" s="49" t="s">
        <v>1577</v>
      </c>
      <c r="D108" s="14" t="s">
        <v>1587</v>
      </c>
      <c r="E108" s="14" t="s">
        <v>1591</v>
      </c>
      <c r="F108" s="14" t="s">
        <v>1454</v>
      </c>
      <c r="G108" s="14" t="s">
        <v>45</v>
      </c>
      <c r="H108" s="14" t="s">
        <v>1586</v>
      </c>
      <c r="I108" s="14" t="s">
        <v>1582</v>
      </c>
      <c r="J108" s="14"/>
      <c r="K108" s="201">
        <f>L108+P108</f>
        <v>574531.24</v>
      </c>
      <c r="L108" s="201">
        <v>195799.24</v>
      </c>
      <c r="M108" s="202">
        <v>0</v>
      </c>
      <c r="N108" s="202">
        <v>0</v>
      </c>
      <c r="O108" s="202">
        <v>0</v>
      </c>
      <c r="P108" s="201">
        <v>378732</v>
      </c>
      <c r="Q108" s="202">
        <v>0</v>
      </c>
      <c r="R108" s="192" t="s">
        <v>1318</v>
      </c>
      <c r="S108" s="192" t="s">
        <v>1347</v>
      </c>
      <c r="T108" s="192" t="s">
        <v>1349</v>
      </c>
      <c r="U108" s="192" t="s">
        <v>1704</v>
      </c>
      <c r="V108" s="110"/>
      <c r="W108" s="110"/>
      <c r="X108" s="110"/>
    </row>
    <row r="109" spans="1:24" ht="39" customHeight="1" x14ac:dyDescent="0.25">
      <c r="A109" s="39" t="s">
        <v>1013</v>
      </c>
      <c r="B109" s="279" t="s">
        <v>532</v>
      </c>
      <c r="C109" s="30" t="s">
        <v>1705</v>
      </c>
      <c r="D109" s="14" t="s">
        <v>1589</v>
      </c>
      <c r="E109" s="90" t="s">
        <v>1591</v>
      </c>
      <c r="F109" s="90" t="s">
        <v>1441</v>
      </c>
      <c r="G109" s="90" t="s">
        <v>45</v>
      </c>
      <c r="H109" s="90" t="s">
        <v>1586</v>
      </c>
      <c r="I109" s="90"/>
      <c r="J109" s="90"/>
      <c r="K109" s="199">
        <f>L109+P109</f>
        <v>580492.01</v>
      </c>
      <c r="L109" s="199">
        <v>87073.81</v>
      </c>
      <c r="M109" s="200">
        <v>0</v>
      </c>
      <c r="N109" s="200">
        <v>0</v>
      </c>
      <c r="O109" s="200">
        <v>0</v>
      </c>
      <c r="P109" s="199">
        <v>493418.2</v>
      </c>
      <c r="Q109" s="202">
        <v>0</v>
      </c>
      <c r="R109" s="195" t="s">
        <v>1330</v>
      </c>
      <c r="S109" s="195" t="s">
        <v>1327</v>
      </c>
      <c r="T109" s="195" t="s">
        <v>108</v>
      </c>
      <c r="U109" s="196">
        <v>2020</v>
      </c>
      <c r="V109" s="111"/>
      <c r="W109" s="111"/>
      <c r="X109" s="111"/>
    </row>
    <row r="110" spans="1:24" ht="39" customHeight="1" x14ac:dyDescent="0.25">
      <c r="A110" s="411" t="s">
        <v>1617</v>
      </c>
      <c r="B110" s="409"/>
      <c r="C110" s="404" t="s">
        <v>1620</v>
      </c>
      <c r="D110" s="410"/>
      <c r="E110" s="410"/>
      <c r="F110" s="410"/>
      <c r="G110" s="410"/>
      <c r="H110" s="410"/>
      <c r="I110" s="410"/>
      <c r="J110" s="410"/>
      <c r="K110" s="407">
        <f t="shared" ref="K110:Q110" si="23">K111+K133</f>
        <v>43645392.889999993</v>
      </c>
      <c r="L110" s="407">
        <f t="shared" si="23"/>
        <v>5261364.2299999995</v>
      </c>
      <c r="M110" s="407">
        <f t="shared" si="23"/>
        <v>3272906</v>
      </c>
      <c r="N110" s="407">
        <f t="shared" si="23"/>
        <v>14848.9</v>
      </c>
      <c r="O110" s="407">
        <f t="shared" si="23"/>
        <v>0</v>
      </c>
      <c r="P110" s="407">
        <f t="shared" si="23"/>
        <v>35096273.759999998</v>
      </c>
      <c r="Q110" s="407">
        <f t="shared" si="23"/>
        <v>0</v>
      </c>
      <c r="R110" s="409"/>
      <c r="S110" s="409"/>
      <c r="T110" s="409"/>
      <c r="U110" s="409"/>
      <c r="V110" s="110"/>
      <c r="W110" s="110"/>
      <c r="X110" s="110"/>
    </row>
    <row r="111" spans="1:24" ht="60" customHeight="1" x14ac:dyDescent="0.25">
      <c r="A111" s="391" t="s">
        <v>1618</v>
      </c>
      <c r="B111" s="419"/>
      <c r="C111" s="415" t="s">
        <v>1621</v>
      </c>
      <c r="D111" s="392"/>
      <c r="E111" s="392"/>
      <c r="F111" s="392"/>
      <c r="G111" s="392"/>
      <c r="H111" s="392"/>
      <c r="I111" s="392"/>
      <c r="J111" s="392"/>
      <c r="K111" s="416">
        <f t="shared" ref="K111:Q111" si="24">K112+K126+K127+K128</f>
        <v>42676542.349999994</v>
      </c>
      <c r="L111" s="416">
        <f t="shared" si="24"/>
        <v>5125885.5299999993</v>
      </c>
      <c r="M111" s="416">
        <f t="shared" si="24"/>
        <v>3272906</v>
      </c>
      <c r="N111" s="416">
        <f t="shared" si="24"/>
        <v>5000</v>
      </c>
      <c r="O111" s="416">
        <f t="shared" si="24"/>
        <v>0</v>
      </c>
      <c r="P111" s="416">
        <f t="shared" si="24"/>
        <v>34272750.82</v>
      </c>
      <c r="Q111" s="416">
        <f t="shared" si="24"/>
        <v>0</v>
      </c>
      <c r="R111" s="419"/>
      <c r="S111" s="419"/>
      <c r="T111" s="419"/>
      <c r="U111" s="419"/>
      <c r="V111" s="110"/>
      <c r="W111" s="110"/>
      <c r="X111" s="110"/>
    </row>
    <row r="112" spans="1:24" ht="39" customHeight="1" x14ac:dyDescent="0.25">
      <c r="A112" s="428" t="s">
        <v>222</v>
      </c>
      <c r="B112" s="436"/>
      <c r="C112" s="428" t="s">
        <v>226</v>
      </c>
      <c r="D112" s="436"/>
      <c r="E112" s="436"/>
      <c r="F112" s="436"/>
      <c r="G112" s="436"/>
      <c r="H112" s="436"/>
      <c r="I112" s="436"/>
      <c r="J112" s="436"/>
      <c r="K112" s="433">
        <f t="shared" ref="K112:Q112" si="25">SUM(K113:K125)</f>
        <v>22926102.349999998</v>
      </c>
      <c r="L112" s="433">
        <f t="shared" si="25"/>
        <v>3740223.53</v>
      </c>
      <c r="M112" s="433">
        <f t="shared" si="25"/>
        <v>1887248</v>
      </c>
      <c r="N112" s="433">
        <f t="shared" si="25"/>
        <v>5000</v>
      </c>
      <c r="O112" s="433">
        <f t="shared" si="25"/>
        <v>0</v>
      </c>
      <c r="P112" s="433">
        <f t="shared" si="25"/>
        <v>17293630.82</v>
      </c>
      <c r="Q112" s="433">
        <f t="shared" si="25"/>
        <v>0</v>
      </c>
      <c r="R112" s="435"/>
      <c r="S112" s="435"/>
      <c r="T112" s="435"/>
      <c r="U112" s="435"/>
      <c r="V112" s="110"/>
      <c r="W112" s="110"/>
      <c r="X112" s="110"/>
    </row>
    <row r="113" spans="1:24" ht="39" customHeight="1" x14ac:dyDescent="0.25">
      <c r="A113" s="23" t="s">
        <v>390</v>
      </c>
      <c r="B113" s="279" t="s">
        <v>533</v>
      </c>
      <c r="C113" s="23" t="s">
        <v>391</v>
      </c>
      <c r="D113" s="11" t="s">
        <v>1590</v>
      </c>
      <c r="E113" s="11" t="s">
        <v>1588</v>
      </c>
      <c r="F113" s="11" t="s">
        <v>1446</v>
      </c>
      <c r="G113" s="11" t="s">
        <v>34</v>
      </c>
      <c r="H113" s="22" t="s">
        <v>1586</v>
      </c>
      <c r="I113" s="11"/>
      <c r="J113" s="11"/>
      <c r="K113" s="201">
        <f>L113+M113+N113+O113+P113</f>
        <v>1158000</v>
      </c>
      <c r="L113" s="201">
        <v>530641.56000000006</v>
      </c>
      <c r="M113" s="201">
        <v>0</v>
      </c>
      <c r="N113" s="201">
        <v>0</v>
      </c>
      <c r="O113" s="201">
        <v>0</v>
      </c>
      <c r="P113" s="201">
        <v>627358.43999999994</v>
      </c>
      <c r="Q113" s="201">
        <v>0</v>
      </c>
      <c r="R113" s="188" t="s">
        <v>1317</v>
      </c>
      <c r="S113" s="188" t="s">
        <v>1343</v>
      </c>
      <c r="T113" s="188" t="s">
        <v>1318</v>
      </c>
      <c r="U113" s="188">
        <v>2019</v>
      </c>
      <c r="V113" s="110"/>
      <c r="W113" s="110"/>
      <c r="X113" s="110"/>
    </row>
    <row r="114" spans="1:24" ht="39" customHeight="1" x14ac:dyDescent="0.25">
      <c r="A114" s="23" t="s">
        <v>871</v>
      </c>
      <c r="B114" s="279" t="s">
        <v>534</v>
      </c>
      <c r="C114" s="23" t="s">
        <v>89</v>
      </c>
      <c r="D114" s="11" t="s">
        <v>853</v>
      </c>
      <c r="E114" s="11" t="s">
        <v>776</v>
      </c>
      <c r="F114" s="11" t="s">
        <v>1400</v>
      </c>
      <c r="G114" s="47" t="s">
        <v>90</v>
      </c>
      <c r="H114" s="22" t="s">
        <v>1592</v>
      </c>
      <c r="I114" s="11" t="s">
        <v>1582</v>
      </c>
      <c r="J114" s="11"/>
      <c r="K114" s="201">
        <f t="shared" ref="K114:K125" si="26">L114+M114+N114+O114+P114</f>
        <v>11584800</v>
      </c>
      <c r="L114" s="204">
        <v>0</v>
      </c>
      <c r="M114" s="204">
        <v>1737720</v>
      </c>
      <c r="N114" s="204">
        <v>0</v>
      </c>
      <c r="O114" s="204">
        <v>0</v>
      </c>
      <c r="P114" s="204">
        <v>9847080</v>
      </c>
      <c r="Q114" s="201">
        <v>0</v>
      </c>
      <c r="R114" s="188" t="s">
        <v>1342</v>
      </c>
      <c r="S114" s="188" t="s">
        <v>1317</v>
      </c>
      <c r="T114" s="188" t="s">
        <v>1320</v>
      </c>
      <c r="U114" s="188">
        <v>2019</v>
      </c>
      <c r="V114" s="111"/>
      <c r="W114" s="111"/>
      <c r="X114" s="110"/>
    </row>
    <row r="115" spans="1:24" ht="39" customHeight="1" x14ac:dyDescent="0.25">
      <c r="A115" s="23" t="s">
        <v>872</v>
      </c>
      <c r="B115" s="279" t="s">
        <v>535</v>
      </c>
      <c r="C115" s="23" t="s">
        <v>854</v>
      </c>
      <c r="D115" s="11" t="s">
        <v>1404</v>
      </c>
      <c r="E115" s="11" t="s">
        <v>1588</v>
      </c>
      <c r="F115" s="11" t="s">
        <v>1400</v>
      </c>
      <c r="G115" s="47" t="s">
        <v>34</v>
      </c>
      <c r="H115" s="22" t="s">
        <v>1586</v>
      </c>
      <c r="I115" s="11" t="s">
        <v>1582</v>
      </c>
      <c r="J115" s="11"/>
      <c r="K115" s="201">
        <f t="shared" si="26"/>
        <v>1280767</v>
      </c>
      <c r="L115" s="204">
        <v>254000</v>
      </c>
      <c r="M115" s="204">
        <v>0</v>
      </c>
      <c r="N115" s="204">
        <v>5000</v>
      </c>
      <c r="O115" s="204">
        <v>0</v>
      </c>
      <c r="P115" s="204">
        <v>1021767</v>
      </c>
      <c r="Q115" s="201">
        <v>0</v>
      </c>
      <c r="R115" s="188" t="s">
        <v>1321</v>
      </c>
      <c r="S115" s="188" t="s">
        <v>1344</v>
      </c>
      <c r="T115" s="188" t="s">
        <v>1323</v>
      </c>
      <c r="U115" s="188">
        <v>2019</v>
      </c>
      <c r="V115" s="110"/>
      <c r="W115" s="110"/>
      <c r="X115" s="110"/>
    </row>
    <row r="116" spans="1:24" ht="39" customHeight="1" x14ac:dyDescent="0.25">
      <c r="A116" s="23" t="s">
        <v>873</v>
      </c>
      <c r="B116" s="279" t="s">
        <v>536</v>
      </c>
      <c r="C116" s="23" t="s">
        <v>1190</v>
      </c>
      <c r="D116" s="11" t="s">
        <v>1191</v>
      </c>
      <c r="E116" s="11" t="s">
        <v>1588</v>
      </c>
      <c r="F116" s="11" t="s">
        <v>1400</v>
      </c>
      <c r="G116" s="47" t="s">
        <v>34</v>
      </c>
      <c r="H116" s="22" t="s">
        <v>1586</v>
      </c>
      <c r="I116" s="11" t="s">
        <v>1582</v>
      </c>
      <c r="J116" s="11"/>
      <c r="K116" s="201">
        <f t="shared" si="26"/>
        <v>2625980</v>
      </c>
      <c r="L116" s="204">
        <v>1604213</v>
      </c>
      <c r="M116" s="204">
        <v>0</v>
      </c>
      <c r="N116" s="204">
        <v>0</v>
      </c>
      <c r="O116" s="204">
        <v>0</v>
      </c>
      <c r="P116" s="204">
        <v>1021767</v>
      </c>
      <c r="Q116" s="201">
        <v>0</v>
      </c>
      <c r="R116" s="188" t="s">
        <v>1318</v>
      </c>
      <c r="S116" s="188" t="s">
        <v>1344</v>
      </c>
      <c r="T116" s="188" t="s">
        <v>1323</v>
      </c>
      <c r="U116" s="188">
        <v>2019</v>
      </c>
      <c r="V116" s="110"/>
      <c r="W116" s="110"/>
      <c r="X116" s="110"/>
    </row>
    <row r="117" spans="1:24" ht="39" customHeight="1" x14ac:dyDescent="0.25">
      <c r="A117" s="23" t="s">
        <v>874</v>
      </c>
      <c r="B117" s="279" t="s">
        <v>537</v>
      </c>
      <c r="C117" s="23" t="s">
        <v>855</v>
      </c>
      <c r="D117" s="11" t="s">
        <v>1192</v>
      </c>
      <c r="E117" s="11" t="s">
        <v>1588</v>
      </c>
      <c r="F117" s="11" t="s">
        <v>1400</v>
      </c>
      <c r="G117" s="14" t="s">
        <v>1405</v>
      </c>
      <c r="H117" s="22" t="s">
        <v>1586</v>
      </c>
      <c r="I117" s="11" t="s">
        <v>1582</v>
      </c>
      <c r="J117" s="11"/>
      <c r="K117" s="201">
        <f t="shared" si="26"/>
        <v>1471479</v>
      </c>
      <c r="L117" s="204">
        <v>220722</v>
      </c>
      <c r="M117" s="204">
        <v>0</v>
      </c>
      <c r="N117" s="204">
        <v>0</v>
      </c>
      <c r="O117" s="204">
        <v>0</v>
      </c>
      <c r="P117" s="204">
        <v>1250757</v>
      </c>
      <c r="Q117" s="201">
        <v>0</v>
      </c>
      <c r="R117" s="188" t="s">
        <v>1318</v>
      </c>
      <c r="S117" s="188" t="s">
        <v>1322</v>
      </c>
      <c r="T117" s="188" t="s">
        <v>1406</v>
      </c>
      <c r="U117" s="188">
        <v>2019</v>
      </c>
      <c r="V117" s="110"/>
      <c r="W117" s="110"/>
      <c r="X117" s="110"/>
    </row>
    <row r="118" spans="1:24" ht="39" customHeight="1" x14ac:dyDescent="0.25">
      <c r="A118" s="23" t="s">
        <v>875</v>
      </c>
      <c r="B118" s="279" t="s">
        <v>538</v>
      </c>
      <c r="C118" s="23" t="s">
        <v>338</v>
      </c>
      <c r="D118" s="11" t="s">
        <v>343</v>
      </c>
      <c r="E118" s="11" t="s">
        <v>1588</v>
      </c>
      <c r="F118" s="11" t="s">
        <v>1400</v>
      </c>
      <c r="G118" s="14" t="s">
        <v>1405</v>
      </c>
      <c r="H118" s="22" t="s">
        <v>1586</v>
      </c>
      <c r="I118" s="11" t="s">
        <v>1582</v>
      </c>
      <c r="J118" s="11"/>
      <c r="K118" s="201">
        <f t="shared" si="26"/>
        <v>1312960.7000000002</v>
      </c>
      <c r="L118" s="204">
        <v>196944.11</v>
      </c>
      <c r="M118" s="204">
        <v>0</v>
      </c>
      <c r="N118" s="204">
        <v>0</v>
      </c>
      <c r="O118" s="204">
        <v>0</v>
      </c>
      <c r="P118" s="204">
        <v>1116016.5900000001</v>
      </c>
      <c r="Q118" s="201">
        <v>0</v>
      </c>
      <c r="R118" s="188" t="s">
        <v>1342</v>
      </c>
      <c r="S118" s="188" t="s">
        <v>1328</v>
      </c>
      <c r="T118" s="188" t="s">
        <v>1321</v>
      </c>
      <c r="U118" s="188">
        <v>2018</v>
      </c>
      <c r="V118" s="110"/>
      <c r="W118" s="110"/>
      <c r="X118" s="110"/>
    </row>
    <row r="119" spans="1:24" ht="39" customHeight="1" x14ac:dyDescent="0.25">
      <c r="A119" s="23" t="s">
        <v>876</v>
      </c>
      <c r="B119" s="279" t="s">
        <v>539</v>
      </c>
      <c r="C119" s="23" t="s">
        <v>1193</v>
      </c>
      <c r="D119" s="11" t="s">
        <v>850</v>
      </c>
      <c r="E119" s="11" t="s">
        <v>1585</v>
      </c>
      <c r="F119" s="11" t="s">
        <v>1400</v>
      </c>
      <c r="G119" s="90" t="s">
        <v>1401</v>
      </c>
      <c r="H119" s="22" t="s">
        <v>1586</v>
      </c>
      <c r="I119" s="11" t="s">
        <v>1582</v>
      </c>
      <c r="J119" s="11"/>
      <c r="K119" s="201">
        <f t="shared" si="26"/>
        <v>1049000</v>
      </c>
      <c r="L119" s="204">
        <v>78675</v>
      </c>
      <c r="M119" s="204">
        <v>78675</v>
      </c>
      <c r="N119" s="204">
        <v>0</v>
      </c>
      <c r="O119" s="204">
        <v>0</v>
      </c>
      <c r="P119" s="204">
        <v>891650</v>
      </c>
      <c r="Q119" s="201">
        <v>0</v>
      </c>
      <c r="R119" s="188" t="s">
        <v>1344</v>
      </c>
      <c r="S119" s="188" t="s">
        <v>1344</v>
      </c>
      <c r="T119" s="188" t="s">
        <v>1330</v>
      </c>
      <c r="U119" s="188">
        <v>2019</v>
      </c>
      <c r="V119" s="110"/>
      <c r="W119" s="110"/>
      <c r="X119" s="110"/>
    </row>
    <row r="120" spans="1:24" ht="39" customHeight="1" x14ac:dyDescent="0.25">
      <c r="A120" s="23" t="s">
        <v>877</v>
      </c>
      <c r="B120" s="279" t="s">
        <v>540</v>
      </c>
      <c r="C120" s="23" t="s">
        <v>1194</v>
      </c>
      <c r="D120" s="11" t="s">
        <v>850</v>
      </c>
      <c r="E120" s="11" t="s">
        <v>1585</v>
      </c>
      <c r="F120" s="11" t="s">
        <v>1400</v>
      </c>
      <c r="G120" s="90" t="s">
        <v>1401</v>
      </c>
      <c r="H120" s="22" t="s">
        <v>1586</v>
      </c>
      <c r="I120" s="11" t="s">
        <v>1582</v>
      </c>
      <c r="J120" s="11"/>
      <c r="K120" s="201">
        <f t="shared" si="26"/>
        <v>1400000</v>
      </c>
      <c r="L120" s="204">
        <v>660098</v>
      </c>
      <c r="M120" s="204">
        <v>59992</v>
      </c>
      <c r="N120" s="204">
        <v>0</v>
      </c>
      <c r="O120" s="204">
        <v>0</v>
      </c>
      <c r="P120" s="204">
        <v>679910</v>
      </c>
      <c r="Q120" s="201">
        <v>0</v>
      </c>
      <c r="R120" s="188" t="s">
        <v>1322</v>
      </c>
      <c r="S120" s="188" t="s">
        <v>1406</v>
      </c>
      <c r="T120" s="188" t="s">
        <v>1323</v>
      </c>
      <c r="U120" s="188">
        <v>2019</v>
      </c>
      <c r="V120" s="110"/>
      <c r="W120" s="110"/>
      <c r="X120" s="110"/>
    </row>
    <row r="121" spans="1:24" ht="54" customHeight="1" x14ac:dyDescent="0.25">
      <c r="A121" s="23" t="s">
        <v>878</v>
      </c>
      <c r="B121" s="279" t="s">
        <v>541</v>
      </c>
      <c r="C121" s="23" t="s">
        <v>174</v>
      </c>
      <c r="D121" s="11" t="s">
        <v>850</v>
      </c>
      <c r="E121" s="11" t="s">
        <v>1585</v>
      </c>
      <c r="F121" s="11" t="s">
        <v>1400</v>
      </c>
      <c r="G121" s="90" t="s">
        <v>1401</v>
      </c>
      <c r="H121" s="22" t="s">
        <v>1586</v>
      </c>
      <c r="I121" s="11" t="s">
        <v>1582</v>
      </c>
      <c r="J121" s="11"/>
      <c r="K121" s="201">
        <f t="shared" si="26"/>
        <v>201000</v>
      </c>
      <c r="L121" s="204">
        <v>67049</v>
      </c>
      <c r="M121" s="204">
        <v>10861</v>
      </c>
      <c r="N121" s="204">
        <v>0</v>
      </c>
      <c r="O121" s="204">
        <v>0</v>
      </c>
      <c r="P121" s="204">
        <v>123090</v>
      </c>
      <c r="Q121" s="201">
        <v>0</v>
      </c>
      <c r="R121" s="188" t="s">
        <v>1321</v>
      </c>
      <c r="S121" s="188" t="s">
        <v>1345</v>
      </c>
      <c r="T121" s="188" t="s">
        <v>1316</v>
      </c>
      <c r="U121" s="188">
        <v>2018</v>
      </c>
      <c r="V121" s="110"/>
      <c r="W121" s="110"/>
      <c r="X121" s="110"/>
    </row>
    <row r="122" spans="1:24" ht="39" customHeight="1" x14ac:dyDescent="0.25">
      <c r="A122" s="23" t="s">
        <v>879</v>
      </c>
      <c r="B122" s="279" t="s">
        <v>542</v>
      </c>
      <c r="C122" s="23" t="s">
        <v>1149</v>
      </c>
      <c r="D122" s="11" t="s">
        <v>1145</v>
      </c>
      <c r="E122" s="11" t="s">
        <v>1588</v>
      </c>
      <c r="F122" s="11" t="s">
        <v>1147</v>
      </c>
      <c r="G122" s="11" t="s">
        <v>34</v>
      </c>
      <c r="H122" s="22" t="s">
        <v>1586</v>
      </c>
      <c r="I122" s="11"/>
      <c r="J122" s="11"/>
      <c r="K122" s="201">
        <f t="shared" si="26"/>
        <v>97014.47</v>
      </c>
      <c r="L122" s="201">
        <v>16115.67</v>
      </c>
      <c r="M122" s="201">
        <v>0</v>
      </c>
      <c r="N122" s="201">
        <v>0</v>
      </c>
      <c r="O122" s="201">
        <v>0</v>
      </c>
      <c r="P122" s="201">
        <v>80898.8</v>
      </c>
      <c r="Q122" s="201">
        <v>0</v>
      </c>
      <c r="R122" s="188" t="s">
        <v>1345</v>
      </c>
      <c r="S122" s="188" t="s">
        <v>1324</v>
      </c>
      <c r="T122" s="188" t="s">
        <v>1348</v>
      </c>
      <c r="U122" s="188">
        <v>2020</v>
      </c>
      <c r="V122" s="110"/>
      <c r="W122" s="110"/>
      <c r="X122" s="110"/>
    </row>
    <row r="123" spans="1:24" ht="39" customHeight="1" x14ac:dyDescent="0.25">
      <c r="A123" s="23" t="s">
        <v>1148</v>
      </c>
      <c r="B123" s="279" t="s">
        <v>543</v>
      </c>
      <c r="C123" s="30" t="s">
        <v>33</v>
      </c>
      <c r="D123" s="11" t="s">
        <v>1580</v>
      </c>
      <c r="E123" s="11" t="s">
        <v>1588</v>
      </c>
      <c r="F123" s="11" t="s">
        <v>1456</v>
      </c>
      <c r="G123" s="47" t="s">
        <v>34</v>
      </c>
      <c r="H123" s="22" t="s">
        <v>1586</v>
      </c>
      <c r="I123" s="11"/>
      <c r="J123" s="11"/>
      <c r="K123" s="201">
        <f t="shared" si="26"/>
        <v>207906.69</v>
      </c>
      <c r="L123" s="201">
        <v>31186</v>
      </c>
      <c r="M123" s="201">
        <v>0</v>
      </c>
      <c r="N123" s="201">
        <v>0</v>
      </c>
      <c r="O123" s="201">
        <v>0</v>
      </c>
      <c r="P123" s="201">
        <v>176720.69</v>
      </c>
      <c r="Q123" s="201">
        <v>0</v>
      </c>
      <c r="R123" s="202" t="s">
        <v>1342</v>
      </c>
      <c r="S123" s="202" t="s">
        <v>1343</v>
      </c>
      <c r="T123" s="202" t="s">
        <v>1322</v>
      </c>
      <c r="U123" s="211">
        <v>2019</v>
      </c>
      <c r="V123" s="110"/>
      <c r="W123" s="110"/>
      <c r="X123" s="110"/>
    </row>
    <row r="124" spans="1:24" ht="39" customHeight="1" x14ac:dyDescent="0.25">
      <c r="A124" s="23" t="s">
        <v>1150</v>
      </c>
      <c r="B124" s="279" t="s">
        <v>544</v>
      </c>
      <c r="C124" s="39" t="s">
        <v>1396</v>
      </c>
      <c r="D124" s="90" t="s">
        <v>1397</v>
      </c>
      <c r="E124" s="90" t="s">
        <v>1588</v>
      </c>
      <c r="F124" s="90" t="s">
        <v>1455</v>
      </c>
      <c r="G124" s="14" t="s">
        <v>34</v>
      </c>
      <c r="H124" s="21" t="s">
        <v>1586</v>
      </c>
      <c r="I124" s="21"/>
      <c r="J124" s="21"/>
      <c r="K124" s="201">
        <f t="shared" si="26"/>
        <v>254108.18000000002</v>
      </c>
      <c r="L124" s="206">
        <v>38116.230000000003</v>
      </c>
      <c r="M124" s="206">
        <v>0</v>
      </c>
      <c r="N124" s="206">
        <v>0</v>
      </c>
      <c r="O124" s="206">
        <v>0</v>
      </c>
      <c r="P124" s="206">
        <v>215991.95</v>
      </c>
      <c r="Q124" s="201">
        <v>0</v>
      </c>
      <c r="R124" s="207" t="s">
        <v>1322</v>
      </c>
      <c r="S124" s="207" t="s">
        <v>1345</v>
      </c>
      <c r="T124" s="207" t="s">
        <v>1344</v>
      </c>
      <c r="U124" s="206">
        <v>2019</v>
      </c>
      <c r="V124" s="110"/>
      <c r="W124" s="110"/>
      <c r="X124" s="110"/>
    </row>
    <row r="125" spans="1:24" ht="39" customHeight="1" x14ac:dyDescent="0.25">
      <c r="A125" s="23" t="s">
        <v>64</v>
      </c>
      <c r="B125" s="279" t="s">
        <v>545</v>
      </c>
      <c r="C125" s="39" t="s">
        <v>1684</v>
      </c>
      <c r="D125" s="90" t="s">
        <v>1589</v>
      </c>
      <c r="E125" s="90" t="s">
        <v>1588</v>
      </c>
      <c r="F125" s="90" t="s">
        <v>1441</v>
      </c>
      <c r="G125" s="14" t="s">
        <v>34</v>
      </c>
      <c r="H125" s="21" t="s">
        <v>1586</v>
      </c>
      <c r="I125" s="21"/>
      <c r="J125" s="21"/>
      <c r="K125" s="201">
        <f t="shared" si="26"/>
        <v>283086.31</v>
      </c>
      <c r="L125" s="206">
        <v>42462.96</v>
      </c>
      <c r="M125" s="206">
        <v>0</v>
      </c>
      <c r="N125" s="206">
        <v>0</v>
      </c>
      <c r="O125" s="206">
        <v>0</v>
      </c>
      <c r="P125" s="206">
        <v>240623.35</v>
      </c>
      <c r="Q125" s="201">
        <v>0</v>
      </c>
      <c r="R125" s="207" t="s">
        <v>1318</v>
      </c>
      <c r="S125" s="207" t="s">
        <v>1406</v>
      </c>
      <c r="T125" s="207" t="s">
        <v>1316</v>
      </c>
      <c r="U125" s="206">
        <v>2019</v>
      </c>
      <c r="V125" s="110"/>
      <c r="W125" s="110"/>
      <c r="X125" s="110"/>
    </row>
    <row r="126" spans="1:24" ht="39" customHeight="1" x14ac:dyDescent="0.25">
      <c r="A126" s="428" t="s">
        <v>223</v>
      </c>
      <c r="B126" s="436"/>
      <c r="C126" s="428" t="s">
        <v>227</v>
      </c>
      <c r="D126" s="436"/>
      <c r="E126" s="436"/>
      <c r="F126" s="436"/>
      <c r="G126" s="436"/>
      <c r="H126" s="436"/>
      <c r="I126" s="436"/>
      <c r="J126" s="436"/>
      <c r="K126" s="439">
        <v>0</v>
      </c>
      <c r="L126" s="439">
        <v>0</v>
      </c>
      <c r="M126" s="439">
        <v>0</v>
      </c>
      <c r="N126" s="439">
        <v>0</v>
      </c>
      <c r="O126" s="439">
        <v>0</v>
      </c>
      <c r="P126" s="439">
        <v>0</v>
      </c>
      <c r="Q126" s="439">
        <v>0</v>
      </c>
      <c r="R126" s="435"/>
      <c r="S126" s="435"/>
      <c r="T126" s="435"/>
      <c r="U126" s="435"/>
      <c r="V126" s="110"/>
      <c r="W126" s="110"/>
      <c r="X126" s="110"/>
    </row>
    <row r="127" spans="1:24" ht="39" customHeight="1" x14ac:dyDescent="0.25">
      <c r="A127" s="428" t="s">
        <v>224</v>
      </c>
      <c r="B127" s="436"/>
      <c r="C127" s="428" t="s">
        <v>228</v>
      </c>
      <c r="D127" s="436"/>
      <c r="E127" s="436"/>
      <c r="F127" s="436"/>
      <c r="G127" s="436"/>
      <c r="H127" s="436"/>
      <c r="I127" s="436"/>
      <c r="J127" s="436"/>
      <c r="K127" s="439">
        <v>0</v>
      </c>
      <c r="L127" s="439">
        <v>0</v>
      </c>
      <c r="M127" s="439">
        <v>0</v>
      </c>
      <c r="N127" s="439">
        <v>0</v>
      </c>
      <c r="O127" s="439">
        <v>0</v>
      </c>
      <c r="P127" s="439">
        <v>0</v>
      </c>
      <c r="Q127" s="439">
        <v>0</v>
      </c>
      <c r="R127" s="435"/>
      <c r="S127" s="435"/>
      <c r="T127" s="435"/>
      <c r="U127" s="435"/>
      <c r="V127" s="110"/>
      <c r="W127" s="110"/>
      <c r="X127" s="110"/>
    </row>
    <row r="128" spans="1:24" ht="39" customHeight="1" x14ac:dyDescent="0.25">
      <c r="A128" s="428" t="s">
        <v>225</v>
      </c>
      <c r="B128" s="436"/>
      <c r="C128" s="428" t="s">
        <v>229</v>
      </c>
      <c r="D128" s="436"/>
      <c r="E128" s="436"/>
      <c r="F128" s="436"/>
      <c r="G128" s="436"/>
      <c r="H128" s="436"/>
      <c r="I128" s="436"/>
      <c r="J128" s="436"/>
      <c r="K128" s="433">
        <f t="shared" ref="K128:Q128" si="27">SUM(K129:K132)</f>
        <v>19750440</v>
      </c>
      <c r="L128" s="433">
        <f t="shared" si="27"/>
        <v>1385662</v>
      </c>
      <c r="M128" s="433">
        <f t="shared" si="27"/>
        <v>1385658</v>
      </c>
      <c r="N128" s="433">
        <f t="shared" si="27"/>
        <v>0</v>
      </c>
      <c r="O128" s="433">
        <f t="shared" si="27"/>
        <v>0</v>
      </c>
      <c r="P128" s="433">
        <f t="shared" si="27"/>
        <v>16979120</v>
      </c>
      <c r="Q128" s="433">
        <f t="shared" si="27"/>
        <v>0</v>
      </c>
      <c r="R128" s="435"/>
      <c r="S128" s="435"/>
      <c r="T128" s="435"/>
      <c r="U128" s="435"/>
      <c r="V128" s="110"/>
      <c r="W128" s="110"/>
      <c r="X128" s="110"/>
    </row>
    <row r="129" spans="1:26" ht="39" customHeight="1" x14ac:dyDescent="0.25">
      <c r="A129" s="55" t="s">
        <v>813</v>
      </c>
      <c r="B129" s="279" t="s">
        <v>546</v>
      </c>
      <c r="C129" s="23" t="s">
        <v>857</v>
      </c>
      <c r="D129" s="11" t="s">
        <v>850</v>
      </c>
      <c r="E129" s="11" t="s">
        <v>1585</v>
      </c>
      <c r="F129" s="11" t="s">
        <v>1400</v>
      </c>
      <c r="G129" s="90" t="s">
        <v>1401</v>
      </c>
      <c r="H129" s="22" t="s">
        <v>1586</v>
      </c>
      <c r="I129" s="11" t="s">
        <v>1582</v>
      </c>
      <c r="J129" s="11"/>
      <c r="K129" s="204">
        <f>L129+M129+N129+O129+P129</f>
        <v>5000000</v>
      </c>
      <c r="L129" s="204">
        <v>375000</v>
      </c>
      <c r="M129" s="204">
        <v>375000</v>
      </c>
      <c r="N129" s="204">
        <v>0</v>
      </c>
      <c r="O129" s="204">
        <v>0</v>
      </c>
      <c r="P129" s="204">
        <v>4250000</v>
      </c>
      <c r="Q129" s="204">
        <v>0</v>
      </c>
      <c r="R129" s="188" t="s">
        <v>1330</v>
      </c>
      <c r="S129" s="188" t="s">
        <v>1325</v>
      </c>
      <c r="T129" s="188" t="s">
        <v>1324</v>
      </c>
      <c r="U129" s="188">
        <v>2019</v>
      </c>
      <c r="V129" s="110"/>
      <c r="W129" s="110"/>
      <c r="X129" s="110"/>
    </row>
    <row r="130" spans="1:26" ht="39" customHeight="1" x14ac:dyDescent="0.25">
      <c r="A130" s="55" t="s">
        <v>880</v>
      </c>
      <c r="B130" s="279" t="s">
        <v>547</v>
      </c>
      <c r="C130" s="23" t="s">
        <v>1195</v>
      </c>
      <c r="D130" s="11" t="s">
        <v>850</v>
      </c>
      <c r="E130" s="11" t="s">
        <v>1585</v>
      </c>
      <c r="F130" s="11" t="s">
        <v>1400</v>
      </c>
      <c r="G130" s="90" t="s">
        <v>1401</v>
      </c>
      <c r="H130" s="22" t="s">
        <v>1586</v>
      </c>
      <c r="I130" s="11" t="s">
        <v>1582</v>
      </c>
      <c r="J130" s="11"/>
      <c r="K130" s="204">
        <f>L130+M130+N130+O130+P130</f>
        <v>4750440</v>
      </c>
      <c r="L130" s="204">
        <v>260662</v>
      </c>
      <c r="M130" s="204">
        <v>260658</v>
      </c>
      <c r="N130" s="204">
        <v>0</v>
      </c>
      <c r="O130" s="204">
        <v>0</v>
      </c>
      <c r="P130" s="204">
        <v>4229120</v>
      </c>
      <c r="Q130" s="204">
        <v>0</v>
      </c>
      <c r="R130" s="188" t="s">
        <v>1316</v>
      </c>
      <c r="S130" s="188" t="s">
        <v>1330</v>
      </c>
      <c r="T130" s="188" t="s">
        <v>66</v>
      </c>
      <c r="U130" s="188">
        <v>2019</v>
      </c>
      <c r="V130" s="110"/>
      <c r="W130" s="110"/>
      <c r="X130" s="110"/>
    </row>
    <row r="131" spans="1:26" ht="39" customHeight="1" x14ac:dyDescent="0.25">
      <c r="A131" s="55" t="s">
        <v>881</v>
      </c>
      <c r="B131" s="279" t="s">
        <v>548</v>
      </c>
      <c r="C131" s="23" t="s">
        <v>1196</v>
      </c>
      <c r="D131" s="11" t="s">
        <v>850</v>
      </c>
      <c r="E131" s="11" t="s">
        <v>1585</v>
      </c>
      <c r="F131" s="11" t="s">
        <v>1400</v>
      </c>
      <c r="G131" s="90" t="s">
        <v>1401</v>
      </c>
      <c r="H131" s="22" t="s">
        <v>1586</v>
      </c>
      <c r="I131" s="11" t="s">
        <v>1582</v>
      </c>
      <c r="J131" s="11"/>
      <c r="K131" s="204">
        <f>L131+M131+N131+O131+P131</f>
        <v>5000000</v>
      </c>
      <c r="L131" s="204">
        <v>375000</v>
      </c>
      <c r="M131" s="204">
        <v>375000</v>
      </c>
      <c r="N131" s="204">
        <v>0</v>
      </c>
      <c r="O131" s="204">
        <v>0</v>
      </c>
      <c r="P131" s="204">
        <v>4250000</v>
      </c>
      <c r="Q131" s="204">
        <v>0</v>
      </c>
      <c r="R131" s="188" t="s">
        <v>66</v>
      </c>
      <c r="S131" s="188" t="s">
        <v>38</v>
      </c>
      <c r="T131" s="188" t="s">
        <v>1348</v>
      </c>
      <c r="U131" s="188">
        <v>2019</v>
      </c>
      <c r="V131" s="110"/>
      <c r="W131" s="110"/>
      <c r="X131" s="110"/>
    </row>
    <row r="132" spans="1:26" ht="54" customHeight="1" x14ac:dyDescent="0.25">
      <c r="A132" s="55" t="s">
        <v>882</v>
      </c>
      <c r="B132" s="279" t="s">
        <v>549</v>
      </c>
      <c r="C132" s="23" t="s">
        <v>339</v>
      </c>
      <c r="D132" s="11" t="s">
        <v>850</v>
      </c>
      <c r="E132" s="11" t="s">
        <v>1585</v>
      </c>
      <c r="F132" s="11" t="s">
        <v>1400</v>
      </c>
      <c r="G132" s="90" t="s">
        <v>1401</v>
      </c>
      <c r="H132" s="22" t="s">
        <v>1586</v>
      </c>
      <c r="I132" s="11" t="s">
        <v>1582</v>
      </c>
      <c r="J132" s="11"/>
      <c r="K132" s="204">
        <f>L132+M132+N132+O132+P132</f>
        <v>5000000</v>
      </c>
      <c r="L132" s="204">
        <v>375000</v>
      </c>
      <c r="M132" s="204">
        <v>375000</v>
      </c>
      <c r="N132" s="204">
        <v>0</v>
      </c>
      <c r="O132" s="204">
        <v>0</v>
      </c>
      <c r="P132" s="204">
        <v>4250000</v>
      </c>
      <c r="Q132" s="204">
        <v>0</v>
      </c>
      <c r="R132" s="188" t="s">
        <v>1323</v>
      </c>
      <c r="S132" s="188" t="s">
        <v>1325</v>
      </c>
      <c r="T132" s="188" t="s">
        <v>1324</v>
      </c>
      <c r="U132" s="188">
        <v>2019</v>
      </c>
      <c r="V132" s="110"/>
      <c r="W132" s="110"/>
      <c r="X132" s="110"/>
    </row>
    <row r="133" spans="1:26" ht="39" customHeight="1" x14ac:dyDescent="0.25">
      <c r="A133" s="391" t="s">
        <v>1619</v>
      </c>
      <c r="B133" s="392"/>
      <c r="C133" s="391" t="s">
        <v>1622</v>
      </c>
      <c r="D133" s="392"/>
      <c r="E133" s="392"/>
      <c r="F133" s="392"/>
      <c r="G133" s="392"/>
      <c r="H133" s="392"/>
      <c r="I133" s="392"/>
      <c r="J133" s="392"/>
      <c r="K133" s="416">
        <f t="shared" ref="K133:Q133" si="28">K134+K135+K139+K140</f>
        <v>968850.54</v>
      </c>
      <c r="L133" s="416">
        <f t="shared" si="28"/>
        <v>135478.70000000001</v>
      </c>
      <c r="M133" s="416">
        <f t="shared" si="28"/>
        <v>0</v>
      </c>
      <c r="N133" s="416">
        <f t="shared" si="28"/>
        <v>9848.9</v>
      </c>
      <c r="O133" s="416">
        <f t="shared" si="28"/>
        <v>0</v>
      </c>
      <c r="P133" s="416">
        <f t="shared" si="28"/>
        <v>823522.94</v>
      </c>
      <c r="Q133" s="416">
        <f t="shared" si="28"/>
        <v>0</v>
      </c>
      <c r="R133" s="419"/>
      <c r="S133" s="419"/>
      <c r="T133" s="419"/>
      <c r="U133" s="419"/>
      <c r="V133" s="110"/>
      <c r="W133" s="110"/>
      <c r="X133" s="110"/>
    </row>
    <row r="134" spans="1:26" ht="39" customHeight="1" x14ac:dyDescent="0.25">
      <c r="A134" s="440" t="s">
        <v>230</v>
      </c>
      <c r="B134" s="436"/>
      <c r="C134" s="428" t="s">
        <v>231</v>
      </c>
      <c r="D134" s="436"/>
      <c r="E134" s="436"/>
      <c r="F134" s="436"/>
      <c r="G134" s="436"/>
      <c r="H134" s="436"/>
      <c r="I134" s="436"/>
      <c r="J134" s="436"/>
      <c r="K134" s="439">
        <v>0</v>
      </c>
      <c r="L134" s="439">
        <v>0</v>
      </c>
      <c r="M134" s="439">
        <v>0</v>
      </c>
      <c r="N134" s="439">
        <v>0</v>
      </c>
      <c r="O134" s="439">
        <v>0</v>
      </c>
      <c r="P134" s="439">
        <v>0</v>
      </c>
      <c r="Q134" s="439">
        <v>0</v>
      </c>
      <c r="R134" s="435"/>
      <c r="S134" s="435"/>
      <c r="T134" s="435"/>
      <c r="U134" s="435"/>
      <c r="V134" s="110"/>
      <c r="W134" s="110"/>
      <c r="X134" s="110"/>
    </row>
    <row r="135" spans="1:26" ht="39" customHeight="1" x14ac:dyDescent="0.25">
      <c r="A135" s="440" t="s">
        <v>1136</v>
      </c>
      <c r="B135" s="436"/>
      <c r="C135" s="428" t="s">
        <v>232</v>
      </c>
      <c r="D135" s="436"/>
      <c r="E135" s="436"/>
      <c r="F135" s="436"/>
      <c r="G135" s="436"/>
      <c r="H135" s="436"/>
      <c r="I135" s="436"/>
      <c r="J135" s="436"/>
      <c r="K135" s="433">
        <f t="shared" ref="K135:Q135" si="29">SUM(K136:K138)</f>
        <v>968850.54</v>
      </c>
      <c r="L135" s="433">
        <f t="shared" si="29"/>
        <v>135478.70000000001</v>
      </c>
      <c r="M135" s="433">
        <f t="shared" si="29"/>
        <v>0</v>
      </c>
      <c r="N135" s="433">
        <f t="shared" si="29"/>
        <v>9848.9</v>
      </c>
      <c r="O135" s="433">
        <f t="shared" si="29"/>
        <v>0</v>
      </c>
      <c r="P135" s="433">
        <f t="shared" si="29"/>
        <v>823522.94</v>
      </c>
      <c r="Q135" s="433">
        <f t="shared" si="29"/>
        <v>0</v>
      </c>
      <c r="R135" s="435"/>
      <c r="S135" s="435"/>
      <c r="T135" s="435"/>
      <c r="U135" s="435"/>
      <c r="V135" s="110"/>
      <c r="W135" s="110"/>
      <c r="X135" s="110"/>
    </row>
    <row r="136" spans="1:26" ht="79.5" customHeight="1" x14ac:dyDescent="0.25">
      <c r="A136" s="71" t="s">
        <v>1139</v>
      </c>
      <c r="B136" s="279" t="s">
        <v>550</v>
      </c>
      <c r="C136" s="473" t="s">
        <v>438</v>
      </c>
      <c r="D136" s="12" t="s">
        <v>1589</v>
      </c>
      <c r="E136" s="12" t="s">
        <v>1581</v>
      </c>
      <c r="F136" s="12" t="s">
        <v>1471</v>
      </c>
      <c r="G136" s="13" t="s">
        <v>1448</v>
      </c>
      <c r="H136" s="12" t="s">
        <v>1586</v>
      </c>
      <c r="I136" s="12"/>
      <c r="J136" s="12"/>
      <c r="K136" s="212">
        <f>L136+N136+P136</f>
        <v>318071.64</v>
      </c>
      <c r="L136" s="212">
        <v>42451.27</v>
      </c>
      <c r="M136" s="212">
        <v>0</v>
      </c>
      <c r="N136" s="212">
        <v>5259.48</v>
      </c>
      <c r="O136" s="212">
        <v>0</v>
      </c>
      <c r="P136" s="212">
        <v>270360.89</v>
      </c>
      <c r="Q136" s="212">
        <v>0</v>
      </c>
      <c r="R136" s="213" t="s">
        <v>1342</v>
      </c>
      <c r="S136" s="214" t="s">
        <v>1320</v>
      </c>
      <c r="T136" s="214" t="s">
        <v>1343</v>
      </c>
      <c r="U136" s="214">
        <v>2020</v>
      </c>
      <c r="V136" s="110"/>
      <c r="W136" s="110"/>
      <c r="X136" s="110"/>
    </row>
    <row r="137" spans="1:26" ht="79.5" customHeight="1" x14ac:dyDescent="0.25">
      <c r="A137" s="71" t="s">
        <v>0</v>
      </c>
      <c r="B137" s="279" t="s">
        <v>551</v>
      </c>
      <c r="C137" s="23" t="s">
        <v>342</v>
      </c>
      <c r="D137" s="11" t="s">
        <v>1580</v>
      </c>
      <c r="E137" s="11" t="s">
        <v>1581</v>
      </c>
      <c r="F137" s="11" t="s">
        <v>1447</v>
      </c>
      <c r="G137" s="13" t="s">
        <v>1448</v>
      </c>
      <c r="H137" s="22" t="s">
        <v>1586</v>
      </c>
      <c r="I137" s="11"/>
      <c r="J137" s="11"/>
      <c r="K137" s="201">
        <f>L137+M137+N137+O137+P137</f>
        <v>207290.72</v>
      </c>
      <c r="L137" s="201">
        <v>26504.2</v>
      </c>
      <c r="M137" s="201">
        <v>0</v>
      </c>
      <c r="N137" s="201">
        <v>4589.42</v>
      </c>
      <c r="O137" s="201">
        <v>0</v>
      </c>
      <c r="P137" s="201">
        <v>176197.1</v>
      </c>
      <c r="Q137" s="212">
        <v>0</v>
      </c>
      <c r="R137" s="215" t="s">
        <v>803</v>
      </c>
      <c r="S137" s="216" t="s">
        <v>1328</v>
      </c>
      <c r="T137" s="216" t="s">
        <v>1318</v>
      </c>
      <c r="U137" s="216">
        <v>2019</v>
      </c>
      <c r="V137" s="110"/>
      <c r="W137" s="110"/>
      <c r="X137" s="110"/>
      <c r="Z137" s="109"/>
    </row>
    <row r="138" spans="1:26" ht="39" customHeight="1" x14ac:dyDescent="0.25">
      <c r="A138" s="71" t="s">
        <v>1407</v>
      </c>
      <c r="B138" s="279" t="s">
        <v>552</v>
      </c>
      <c r="C138" s="23" t="s">
        <v>1408</v>
      </c>
      <c r="D138" s="11" t="s">
        <v>1590</v>
      </c>
      <c r="E138" s="11" t="s">
        <v>1581</v>
      </c>
      <c r="F138" s="11" t="s">
        <v>1472</v>
      </c>
      <c r="G138" s="13" t="s">
        <v>1448</v>
      </c>
      <c r="H138" s="22" t="s">
        <v>1586</v>
      </c>
      <c r="I138" s="11"/>
      <c r="J138" s="11"/>
      <c r="K138" s="201">
        <f>L138+P138</f>
        <v>443488.18</v>
      </c>
      <c r="L138" s="201">
        <v>66523.23</v>
      </c>
      <c r="M138" s="201">
        <v>0</v>
      </c>
      <c r="N138" s="201">
        <v>0</v>
      </c>
      <c r="O138" s="201">
        <v>0</v>
      </c>
      <c r="P138" s="201">
        <v>376964.95</v>
      </c>
      <c r="Q138" s="212">
        <v>0</v>
      </c>
      <c r="R138" s="215" t="s">
        <v>1316</v>
      </c>
      <c r="S138" s="216" t="s">
        <v>66</v>
      </c>
      <c r="T138" s="216" t="s">
        <v>38</v>
      </c>
      <c r="U138" s="216">
        <v>2020</v>
      </c>
      <c r="V138" s="110"/>
      <c r="W138" s="110"/>
      <c r="X138" s="110"/>
    </row>
    <row r="139" spans="1:26" ht="39" customHeight="1" x14ac:dyDescent="0.25">
      <c r="A139" s="440" t="s">
        <v>1137</v>
      </c>
      <c r="B139" s="436"/>
      <c r="C139" s="428" t="s">
        <v>233</v>
      </c>
      <c r="D139" s="436"/>
      <c r="E139" s="436"/>
      <c r="F139" s="436"/>
      <c r="G139" s="436"/>
      <c r="H139" s="436"/>
      <c r="I139" s="436"/>
      <c r="J139" s="436"/>
      <c r="K139" s="439">
        <v>0</v>
      </c>
      <c r="L139" s="439">
        <v>0</v>
      </c>
      <c r="M139" s="439">
        <v>0</v>
      </c>
      <c r="N139" s="439">
        <v>0</v>
      </c>
      <c r="O139" s="439">
        <v>0</v>
      </c>
      <c r="P139" s="439">
        <v>0</v>
      </c>
      <c r="Q139" s="439">
        <v>0</v>
      </c>
      <c r="R139" s="435"/>
      <c r="S139" s="435"/>
      <c r="T139" s="435"/>
      <c r="U139" s="435"/>
      <c r="V139" s="110"/>
      <c r="W139" s="110"/>
      <c r="X139" s="110"/>
    </row>
    <row r="140" spans="1:26" ht="39" customHeight="1" x14ac:dyDescent="0.25">
      <c r="A140" s="440" t="s">
        <v>1138</v>
      </c>
      <c r="B140" s="436"/>
      <c r="C140" s="428" t="s">
        <v>234</v>
      </c>
      <c r="D140" s="436"/>
      <c r="E140" s="436"/>
      <c r="F140" s="436"/>
      <c r="G140" s="436"/>
      <c r="H140" s="436"/>
      <c r="I140" s="436"/>
      <c r="J140" s="436"/>
      <c r="K140" s="439">
        <v>0</v>
      </c>
      <c r="L140" s="439">
        <v>0</v>
      </c>
      <c r="M140" s="439">
        <v>0</v>
      </c>
      <c r="N140" s="439">
        <v>0</v>
      </c>
      <c r="O140" s="439">
        <v>0</v>
      </c>
      <c r="P140" s="439">
        <v>0</v>
      </c>
      <c r="Q140" s="439">
        <v>0</v>
      </c>
      <c r="R140" s="435"/>
      <c r="S140" s="435"/>
      <c r="T140" s="435"/>
      <c r="U140" s="435"/>
      <c r="V140" s="110"/>
      <c r="W140" s="110"/>
      <c r="X140" s="110"/>
    </row>
    <row r="141" spans="1:26" ht="39" customHeight="1" x14ac:dyDescent="0.25">
      <c r="A141" s="398" t="s">
        <v>1623</v>
      </c>
      <c r="B141" s="402"/>
      <c r="C141" s="398" t="s">
        <v>1624</v>
      </c>
      <c r="D141" s="402"/>
      <c r="E141" s="402"/>
      <c r="F141" s="402"/>
      <c r="G141" s="402"/>
      <c r="H141" s="402"/>
      <c r="I141" s="402"/>
      <c r="J141" s="402"/>
      <c r="K141" s="401">
        <f t="shared" ref="K141:Q141" si="30">K142+K149+K220+K253+K290+K321</f>
        <v>110732272.1759963</v>
      </c>
      <c r="L141" s="401">
        <f t="shared" si="30"/>
        <v>12575034.26</v>
      </c>
      <c r="M141" s="401">
        <f t="shared" si="30"/>
        <v>19781812.219999999</v>
      </c>
      <c r="N141" s="401">
        <f t="shared" si="30"/>
        <v>3166938.58</v>
      </c>
      <c r="O141" s="401">
        <f t="shared" si="30"/>
        <v>574923.36</v>
      </c>
      <c r="P141" s="401">
        <f t="shared" si="30"/>
        <v>74633563.755996287</v>
      </c>
      <c r="Q141" s="401">
        <f t="shared" si="30"/>
        <v>0</v>
      </c>
      <c r="R141" s="403"/>
      <c r="S141" s="403"/>
      <c r="T141" s="403"/>
      <c r="U141" s="403"/>
      <c r="V141" s="110"/>
      <c r="W141" s="110"/>
      <c r="X141" s="110"/>
    </row>
    <row r="142" spans="1:26" ht="39" customHeight="1" x14ac:dyDescent="0.25">
      <c r="A142" s="404" t="s">
        <v>1626</v>
      </c>
      <c r="B142" s="410"/>
      <c r="C142" s="404" t="s">
        <v>1627</v>
      </c>
      <c r="D142" s="410"/>
      <c r="E142" s="410"/>
      <c r="F142" s="410"/>
      <c r="G142" s="410"/>
      <c r="H142" s="410"/>
      <c r="I142" s="410"/>
      <c r="J142" s="410"/>
      <c r="K142" s="407">
        <f t="shared" ref="K142:Q142" si="31">K143+K146</f>
        <v>0</v>
      </c>
      <c r="L142" s="407">
        <f t="shared" si="31"/>
        <v>0</v>
      </c>
      <c r="M142" s="407">
        <f t="shared" si="31"/>
        <v>0</v>
      </c>
      <c r="N142" s="407">
        <f t="shared" si="31"/>
        <v>0</v>
      </c>
      <c r="O142" s="407">
        <f t="shared" si="31"/>
        <v>0</v>
      </c>
      <c r="P142" s="407">
        <f t="shared" si="31"/>
        <v>0</v>
      </c>
      <c r="Q142" s="407">
        <f t="shared" si="31"/>
        <v>0</v>
      </c>
      <c r="R142" s="409"/>
      <c r="S142" s="409"/>
      <c r="T142" s="409"/>
      <c r="U142" s="409"/>
      <c r="V142" s="110"/>
      <c r="W142" s="110"/>
      <c r="X142" s="110"/>
    </row>
    <row r="143" spans="1:26" ht="39" customHeight="1" x14ac:dyDescent="0.25">
      <c r="A143" s="391" t="s">
        <v>1628</v>
      </c>
      <c r="B143" s="392"/>
      <c r="C143" s="391" t="s">
        <v>1629</v>
      </c>
      <c r="D143" s="392"/>
      <c r="E143" s="392"/>
      <c r="F143" s="392"/>
      <c r="G143" s="392"/>
      <c r="H143" s="392"/>
      <c r="I143" s="392"/>
      <c r="J143" s="392"/>
      <c r="K143" s="416">
        <f t="shared" ref="K143:Q143" si="32">K144+K145</f>
        <v>0</v>
      </c>
      <c r="L143" s="416">
        <f t="shared" si="32"/>
        <v>0</v>
      </c>
      <c r="M143" s="416">
        <f t="shared" si="32"/>
        <v>0</v>
      </c>
      <c r="N143" s="416">
        <f t="shared" si="32"/>
        <v>0</v>
      </c>
      <c r="O143" s="416">
        <f t="shared" si="32"/>
        <v>0</v>
      </c>
      <c r="P143" s="416">
        <f t="shared" si="32"/>
        <v>0</v>
      </c>
      <c r="Q143" s="416">
        <f t="shared" si="32"/>
        <v>0</v>
      </c>
      <c r="R143" s="419"/>
      <c r="S143" s="419"/>
      <c r="T143" s="419"/>
      <c r="U143" s="419"/>
      <c r="V143" s="110"/>
      <c r="W143" s="110"/>
      <c r="X143" s="110"/>
    </row>
    <row r="144" spans="1:26" ht="39" customHeight="1" x14ac:dyDescent="0.25">
      <c r="A144" s="428" t="s">
        <v>235</v>
      </c>
      <c r="B144" s="436"/>
      <c r="C144" s="428" t="s">
        <v>239</v>
      </c>
      <c r="D144" s="436"/>
      <c r="E144" s="436"/>
      <c r="F144" s="436"/>
      <c r="G144" s="436"/>
      <c r="H144" s="436"/>
      <c r="I144" s="436"/>
      <c r="J144" s="436"/>
      <c r="K144" s="439">
        <v>0</v>
      </c>
      <c r="L144" s="439">
        <v>0</v>
      </c>
      <c r="M144" s="439">
        <v>0</v>
      </c>
      <c r="N144" s="439">
        <v>0</v>
      </c>
      <c r="O144" s="439">
        <v>0</v>
      </c>
      <c r="P144" s="439">
        <v>0</v>
      </c>
      <c r="Q144" s="439">
        <v>0</v>
      </c>
      <c r="R144" s="435"/>
      <c r="S144" s="435"/>
      <c r="T144" s="435"/>
      <c r="U144" s="435"/>
      <c r="V144" s="110"/>
      <c r="W144" s="110"/>
      <c r="X144" s="110"/>
    </row>
    <row r="145" spans="1:24" ht="39" customHeight="1" x14ac:dyDescent="0.25">
      <c r="A145" s="428" t="s">
        <v>236</v>
      </c>
      <c r="B145" s="436"/>
      <c r="C145" s="428" t="s">
        <v>240</v>
      </c>
      <c r="D145" s="436"/>
      <c r="E145" s="436"/>
      <c r="F145" s="436"/>
      <c r="G145" s="436"/>
      <c r="H145" s="436"/>
      <c r="I145" s="436"/>
      <c r="J145" s="436"/>
      <c r="K145" s="439">
        <v>0</v>
      </c>
      <c r="L145" s="439">
        <v>0</v>
      </c>
      <c r="M145" s="439">
        <v>0</v>
      </c>
      <c r="N145" s="439">
        <v>0</v>
      </c>
      <c r="O145" s="439">
        <v>0</v>
      </c>
      <c r="P145" s="439">
        <v>0</v>
      </c>
      <c r="Q145" s="439">
        <v>0</v>
      </c>
      <c r="R145" s="435"/>
      <c r="S145" s="435"/>
      <c r="T145" s="435"/>
      <c r="U145" s="435"/>
      <c r="V145" s="110"/>
      <c r="W145" s="110"/>
      <c r="X145" s="110"/>
    </row>
    <row r="146" spans="1:24" ht="39" customHeight="1" x14ac:dyDescent="0.25">
      <c r="A146" s="391" t="s">
        <v>1630</v>
      </c>
      <c r="B146" s="392"/>
      <c r="C146" s="391" t="s">
        <v>1631</v>
      </c>
      <c r="D146" s="392"/>
      <c r="E146" s="392"/>
      <c r="F146" s="392"/>
      <c r="G146" s="392"/>
      <c r="H146" s="392"/>
      <c r="I146" s="392"/>
      <c r="J146" s="392"/>
      <c r="K146" s="416">
        <f t="shared" ref="K146:Q146" si="33">K147+K148</f>
        <v>0</v>
      </c>
      <c r="L146" s="416">
        <f t="shared" si="33"/>
        <v>0</v>
      </c>
      <c r="M146" s="416">
        <f t="shared" si="33"/>
        <v>0</v>
      </c>
      <c r="N146" s="416">
        <f t="shared" si="33"/>
        <v>0</v>
      </c>
      <c r="O146" s="416">
        <f t="shared" si="33"/>
        <v>0</v>
      </c>
      <c r="P146" s="416">
        <f t="shared" si="33"/>
        <v>0</v>
      </c>
      <c r="Q146" s="416">
        <f t="shared" si="33"/>
        <v>0</v>
      </c>
      <c r="R146" s="419"/>
      <c r="S146" s="419"/>
      <c r="T146" s="419"/>
      <c r="U146" s="419"/>
      <c r="V146" s="110"/>
      <c r="W146" s="110"/>
      <c r="X146" s="110"/>
    </row>
    <row r="147" spans="1:24" ht="80.25" customHeight="1" x14ac:dyDescent="0.25">
      <c r="A147" s="428" t="s">
        <v>237</v>
      </c>
      <c r="B147" s="436"/>
      <c r="C147" s="428" t="s">
        <v>241</v>
      </c>
      <c r="D147" s="436"/>
      <c r="E147" s="436"/>
      <c r="F147" s="436"/>
      <c r="G147" s="436"/>
      <c r="H147" s="436"/>
      <c r="I147" s="436"/>
      <c r="J147" s="436"/>
      <c r="K147" s="439">
        <v>0</v>
      </c>
      <c r="L147" s="439">
        <v>0</v>
      </c>
      <c r="M147" s="439">
        <v>0</v>
      </c>
      <c r="N147" s="439">
        <v>0</v>
      </c>
      <c r="O147" s="439">
        <v>0</v>
      </c>
      <c r="P147" s="439">
        <v>0</v>
      </c>
      <c r="Q147" s="439">
        <v>0</v>
      </c>
      <c r="R147" s="435"/>
      <c r="S147" s="435"/>
      <c r="T147" s="435"/>
      <c r="U147" s="435"/>
      <c r="V147" s="110"/>
      <c r="W147" s="110"/>
      <c r="X147" s="110"/>
    </row>
    <row r="148" spans="1:24" ht="39" customHeight="1" x14ac:dyDescent="0.25">
      <c r="A148" s="428" t="s">
        <v>238</v>
      </c>
      <c r="B148" s="436"/>
      <c r="C148" s="428" t="s">
        <v>242</v>
      </c>
      <c r="D148" s="436"/>
      <c r="E148" s="436"/>
      <c r="F148" s="436"/>
      <c r="G148" s="436"/>
      <c r="H148" s="436"/>
      <c r="I148" s="436"/>
      <c r="J148" s="436"/>
      <c r="K148" s="439">
        <v>0</v>
      </c>
      <c r="L148" s="439">
        <v>0</v>
      </c>
      <c r="M148" s="439">
        <v>0</v>
      </c>
      <c r="N148" s="439">
        <v>0</v>
      </c>
      <c r="O148" s="439">
        <v>0</v>
      </c>
      <c r="P148" s="439">
        <v>0</v>
      </c>
      <c r="Q148" s="439">
        <v>0</v>
      </c>
      <c r="R148" s="435"/>
      <c r="S148" s="435"/>
      <c r="T148" s="435"/>
      <c r="U148" s="435"/>
      <c r="V148" s="110"/>
      <c r="W148" s="110"/>
      <c r="X148" s="110"/>
    </row>
    <row r="149" spans="1:24" ht="39" customHeight="1" x14ac:dyDescent="0.25">
      <c r="A149" s="404" t="s">
        <v>1632</v>
      </c>
      <c r="B149" s="410"/>
      <c r="C149" s="404" t="s">
        <v>1633</v>
      </c>
      <c r="D149" s="410"/>
      <c r="E149" s="410"/>
      <c r="F149" s="410"/>
      <c r="G149" s="410"/>
      <c r="H149" s="410"/>
      <c r="I149" s="410"/>
      <c r="J149" s="410"/>
      <c r="K149" s="407">
        <f t="shared" ref="K149:Q149" si="34">K150+K175+K197+K208</f>
        <v>27318771.140000001</v>
      </c>
      <c r="L149" s="407">
        <f t="shared" si="34"/>
        <v>5034570.88</v>
      </c>
      <c r="M149" s="407">
        <f t="shared" si="34"/>
        <v>9102037.5500000007</v>
      </c>
      <c r="N149" s="407">
        <f t="shared" si="34"/>
        <v>0</v>
      </c>
      <c r="O149" s="407">
        <f t="shared" si="34"/>
        <v>406000</v>
      </c>
      <c r="P149" s="407">
        <f t="shared" si="34"/>
        <v>12776162.709999999</v>
      </c>
      <c r="Q149" s="407">
        <f t="shared" si="34"/>
        <v>0</v>
      </c>
      <c r="R149" s="409"/>
      <c r="S149" s="409"/>
      <c r="T149" s="409"/>
      <c r="U149" s="409"/>
      <c r="V149" s="110"/>
      <c r="W149" s="110"/>
      <c r="X149" s="110"/>
    </row>
    <row r="150" spans="1:24" ht="39" customHeight="1" x14ac:dyDescent="0.25">
      <c r="A150" s="391" t="s">
        <v>1634</v>
      </c>
      <c r="B150" s="392"/>
      <c r="C150" s="391" t="s">
        <v>1635</v>
      </c>
      <c r="D150" s="392"/>
      <c r="E150" s="392"/>
      <c r="F150" s="392"/>
      <c r="G150" s="392"/>
      <c r="H150" s="392"/>
      <c r="I150" s="392"/>
      <c r="J150" s="392"/>
      <c r="K150" s="416">
        <f t="shared" ref="K150:Q150" si="35">K151+K158+K166+K167+K169+K170+K171+K173+K174</f>
        <v>11899114.66</v>
      </c>
      <c r="L150" s="416">
        <f t="shared" si="35"/>
        <v>2044669.43</v>
      </c>
      <c r="M150" s="416">
        <f t="shared" si="35"/>
        <v>5761851.2400000002</v>
      </c>
      <c r="N150" s="416">
        <f t="shared" si="35"/>
        <v>0</v>
      </c>
      <c r="O150" s="416">
        <f t="shared" si="35"/>
        <v>0</v>
      </c>
      <c r="P150" s="416">
        <f t="shared" si="35"/>
        <v>4092593.99</v>
      </c>
      <c r="Q150" s="416">
        <f t="shared" si="35"/>
        <v>0</v>
      </c>
      <c r="R150" s="419"/>
      <c r="S150" s="419"/>
      <c r="T150" s="419"/>
      <c r="U150" s="419"/>
      <c r="V150" s="110"/>
      <c r="W150" s="110"/>
      <c r="X150" s="110"/>
    </row>
    <row r="151" spans="1:24" ht="39" customHeight="1" x14ac:dyDescent="0.25">
      <c r="A151" s="428" t="s">
        <v>243</v>
      </c>
      <c r="B151" s="429"/>
      <c r="C151" s="428" t="s">
        <v>248</v>
      </c>
      <c r="D151" s="429"/>
      <c r="E151" s="429"/>
      <c r="F151" s="429"/>
      <c r="G151" s="429"/>
      <c r="H151" s="429"/>
      <c r="I151" s="429"/>
      <c r="J151" s="429"/>
      <c r="K151" s="433">
        <f t="shared" ref="K151:Q151" si="36">SUM(K152:K157)</f>
        <v>3822081.5</v>
      </c>
      <c r="L151" s="433">
        <f t="shared" si="36"/>
        <v>375924.47999999998</v>
      </c>
      <c r="M151" s="433">
        <f t="shared" si="36"/>
        <v>884985.71</v>
      </c>
      <c r="N151" s="433">
        <f t="shared" si="36"/>
        <v>0</v>
      </c>
      <c r="O151" s="433">
        <f t="shared" si="36"/>
        <v>0</v>
      </c>
      <c r="P151" s="433">
        <f t="shared" si="36"/>
        <v>2561171.31</v>
      </c>
      <c r="Q151" s="433">
        <f t="shared" si="36"/>
        <v>0</v>
      </c>
      <c r="R151" s="431"/>
      <c r="S151" s="431"/>
      <c r="T151" s="431"/>
      <c r="U151" s="431"/>
      <c r="V151" s="110"/>
      <c r="W151" s="110"/>
      <c r="X151" s="110"/>
    </row>
    <row r="152" spans="1:24" ht="39" customHeight="1" x14ac:dyDescent="0.25">
      <c r="A152" s="80" t="s">
        <v>883</v>
      </c>
      <c r="B152" s="279" t="s">
        <v>553</v>
      </c>
      <c r="C152" s="31" t="s">
        <v>802</v>
      </c>
      <c r="D152" s="47" t="s">
        <v>1587</v>
      </c>
      <c r="E152" s="33" t="s">
        <v>396</v>
      </c>
      <c r="F152" s="47" t="s">
        <v>1454</v>
      </c>
      <c r="G152" s="33" t="s">
        <v>1241</v>
      </c>
      <c r="H152" s="33" t="s">
        <v>1586</v>
      </c>
      <c r="I152" s="33"/>
      <c r="J152" s="33"/>
      <c r="K152" s="199">
        <f>L152+P152+M152</f>
        <v>440787.5</v>
      </c>
      <c r="L152" s="199">
        <v>33059.07</v>
      </c>
      <c r="M152" s="138">
        <v>33059.06</v>
      </c>
      <c r="N152" s="138">
        <v>0</v>
      </c>
      <c r="O152" s="138">
        <v>0</v>
      </c>
      <c r="P152" s="199">
        <v>374669.37</v>
      </c>
      <c r="Q152" s="138">
        <v>0</v>
      </c>
      <c r="R152" s="209" t="s">
        <v>1345</v>
      </c>
      <c r="S152" s="217" t="s">
        <v>1344</v>
      </c>
      <c r="T152" s="217" t="s">
        <v>1330</v>
      </c>
      <c r="U152" s="217">
        <v>2019</v>
      </c>
      <c r="V152" s="110"/>
      <c r="W152" s="110"/>
      <c r="X152" s="110"/>
    </row>
    <row r="153" spans="1:24" ht="39" customHeight="1" x14ac:dyDescent="0.25">
      <c r="A153" s="80" t="s">
        <v>884</v>
      </c>
      <c r="B153" s="279" t="s">
        <v>554</v>
      </c>
      <c r="C153" s="30" t="s">
        <v>168</v>
      </c>
      <c r="D153" s="11" t="s">
        <v>850</v>
      </c>
      <c r="E153" s="11" t="s">
        <v>396</v>
      </c>
      <c r="F153" s="11" t="s">
        <v>1400</v>
      </c>
      <c r="G153" s="33" t="s">
        <v>1241</v>
      </c>
      <c r="H153" s="11" t="s">
        <v>1586</v>
      </c>
      <c r="I153" s="11" t="s">
        <v>1582</v>
      </c>
      <c r="J153" s="11"/>
      <c r="K153" s="204">
        <f>L153+M153+P153</f>
        <v>827908.37</v>
      </c>
      <c r="L153" s="204">
        <v>75992.19</v>
      </c>
      <c r="M153" s="204">
        <v>60966.18</v>
      </c>
      <c r="N153" s="204">
        <v>0</v>
      </c>
      <c r="O153" s="204">
        <v>0</v>
      </c>
      <c r="P153" s="204">
        <v>690950</v>
      </c>
      <c r="Q153" s="138">
        <v>0</v>
      </c>
      <c r="R153" s="196" t="s">
        <v>1406</v>
      </c>
      <c r="S153" s="209" t="s">
        <v>1344</v>
      </c>
      <c r="T153" s="209" t="s">
        <v>1330</v>
      </c>
      <c r="U153" s="218">
        <v>2020</v>
      </c>
      <c r="V153" s="110"/>
      <c r="W153" s="110"/>
      <c r="X153" s="110"/>
    </row>
    <row r="154" spans="1:24" ht="39" customHeight="1" x14ac:dyDescent="0.25">
      <c r="A154" s="80" t="s">
        <v>885</v>
      </c>
      <c r="B154" s="279" t="s">
        <v>555</v>
      </c>
      <c r="C154" s="30" t="s">
        <v>1197</v>
      </c>
      <c r="D154" s="11" t="s">
        <v>850</v>
      </c>
      <c r="E154" s="11" t="s">
        <v>396</v>
      </c>
      <c r="F154" s="11" t="s">
        <v>1400</v>
      </c>
      <c r="G154" s="33" t="s">
        <v>1241</v>
      </c>
      <c r="H154" s="11" t="s">
        <v>1586</v>
      </c>
      <c r="I154" s="11" t="s">
        <v>1582</v>
      </c>
      <c r="J154" s="11"/>
      <c r="K154" s="204">
        <f>L154+M154+P154</f>
        <v>886813.23</v>
      </c>
      <c r="L154" s="204">
        <v>179280.28</v>
      </c>
      <c r="M154" s="204">
        <v>57367.54</v>
      </c>
      <c r="N154" s="204">
        <v>0</v>
      </c>
      <c r="O154" s="204">
        <v>0</v>
      </c>
      <c r="P154" s="204">
        <v>650165.41</v>
      </c>
      <c r="Q154" s="138">
        <v>0</v>
      </c>
      <c r="R154" s="196" t="s">
        <v>1406</v>
      </c>
      <c r="S154" s="209" t="s">
        <v>1344</v>
      </c>
      <c r="T154" s="209" t="s">
        <v>1330</v>
      </c>
      <c r="U154" s="218">
        <v>2020</v>
      </c>
      <c r="V154" s="110"/>
      <c r="W154" s="110"/>
      <c r="X154" s="110"/>
    </row>
    <row r="155" spans="1:24" ht="59.25" customHeight="1" x14ac:dyDescent="0.25">
      <c r="A155" s="80" t="s">
        <v>1213</v>
      </c>
      <c r="B155" s="279" t="s">
        <v>556</v>
      </c>
      <c r="C155" s="30" t="s">
        <v>1214</v>
      </c>
      <c r="D155" s="14" t="s">
        <v>1443</v>
      </c>
      <c r="E155" s="11" t="s">
        <v>396</v>
      </c>
      <c r="F155" s="11" t="s">
        <v>1455</v>
      </c>
      <c r="G155" s="11" t="s">
        <v>816</v>
      </c>
      <c r="H155" s="11"/>
      <c r="I155" s="11"/>
      <c r="J155" s="11"/>
      <c r="K155" s="204">
        <f>L155+M155+P155</f>
        <v>672000</v>
      </c>
      <c r="L155" s="204">
        <v>13000</v>
      </c>
      <c r="M155" s="204">
        <v>659000</v>
      </c>
      <c r="N155" s="204">
        <v>0</v>
      </c>
      <c r="O155" s="204">
        <v>0</v>
      </c>
      <c r="P155" s="204">
        <v>0</v>
      </c>
      <c r="Q155" s="138">
        <v>0</v>
      </c>
      <c r="R155" s="187" t="s">
        <v>1321</v>
      </c>
      <c r="S155" s="188" t="s">
        <v>1321</v>
      </c>
      <c r="T155" s="188" t="s">
        <v>1322</v>
      </c>
      <c r="U155" s="188">
        <v>2020</v>
      </c>
      <c r="V155" s="111"/>
      <c r="W155" s="111"/>
      <c r="X155" s="110"/>
    </row>
    <row r="156" spans="1:24" ht="39" customHeight="1" x14ac:dyDescent="0.25">
      <c r="A156" s="80" t="s">
        <v>164</v>
      </c>
      <c r="B156" s="279" t="s">
        <v>557</v>
      </c>
      <c r="C156" s="30" t="s">
        <v>165</v>
      </c>
      <c r="D156" s="14" t="s">
        <v>1589</v>
      </c>
      <c r="E156" s="11" t="s">
        <v>396</v>
      </c>
      <c r="F156" s="11" t="s">
        <v>1441</v>
      </c>
      <c r="G156" s="11" t="s">
        <v>1241</v>
      </c>
      <c r="H156" s="11" t="s">
        <v>1586</v>
      </c>
      <c r="I156" s="11"/>
      <c r="J156" s="11"/>
      <c r="K156" s="204">
        <f>L156+M156+P156</f>
        <v>574331.14999999991</v>
      </c>
      <c r="L156" s="204">
        <v>43074.84</v>
      </c>
      <c r="M156" s="204">
        <v>43074.84</v>
      </c>
      <c r="N156" s="204">
        <v>0</v>
      </c>
      <c r="O156" s="204">
        <v>0</v>
      </c>
      <c r="P156" s="204">
        <v>488181.47</v>
      </c>
      <c r="Q156" s="138">
        <v>0</v>
      </c>
      <c r="R156" s="187" t="s">
        <v>1345</v>
      </c>
      <c r="S156" s="188" t="s">
        <v>1344</v>
      </c>
      <c r="T156" s="188" t="s">
        <v>1330</v>
      </c>
      <c r="U156" s="188">
        <v>2019</v>
      </c>
      <c r="V156" s="111"/>
      <c r="W156" s="111"/>
      <c r="X156" s="110"/>
    </row>
    <row r="157" spans="1:24" ht="39" customHeight="1" x14ac:dyDescent="0.25">
      <c r="A157" s="80" t="s">
        <v>170</v>
      </c>
      <c r="B157" s="279" t="s">
        <v>558</v>
      </c>
      <c r="C157" s="30" t="s">
        <v>171</v>
      </c>
      <c r="D157" s="14" t="s">
        <v>1580</v>
      </c>
      <c r="E157" s="11" t="s">
        <v>396</v>
      </c>
      <c r="F157" s="11" t="s">
        <v>1456</v>
      </c>
      <c r="G157" s="11" t="s">
        <v>1241</v>
      </c>
      <c r="H157" s="11" t="s">
        <v>1586</v>
      </c>
      <c r="I157" s="11"/>
      <c r="J157" s="11"/>
      <c r="K157" s="204">
        <f>L157+M157+P157</f>
        <v>420241.25</v>
      </c>
      <c r="L157" s="204">
        <v>31518.1</v>
      </c>
      <c r="M157" s="204">
        <v>31518.09</v>
      </c>
      <c r="N157" s="204">
        <v>0</v>
      </c>
      <c r="O157" s="204">
        <v>0</v>
      </c>
      <c r="P157" s="204">
        <v>357205.06</v>
      </c>
      <c r="Q157" s="138">
        <v>0</v>
      </c>
      <c r="R157" s="187" t="s">
        <v>1322</v>
      </c>
      <c r="S157" s="188" t="s">
        <v>1344</v>
      </c>
      <c r="T157" s="188" t="s">
        <v>1325</v>
      </c>
      <c r="U157" s="188">
        <v>2020</v>
      </c>
      <c r="V157" s="111"/>
      <c r="W157" s="111"/>
      <c r="X157" s="110"/>
    </row>
    <row r="158" spans="1:24" ht="39" customHeight="1" x14ac:dyDescent="0.25">
      <c r="A158" s="428" t="s">
        <v>244</v>
      </c>
      <c r="B158" s="429"/>
      <c r="C158" s="428" t="s">
        <v>249</v>
      </c>
      <c r="D158" s="429"/>
      <c r="E158" s="429"/>
      <c r="F158" s="429"/>
      <c r="G158" s="429"/>
      <c r="H158" s="429"/>
      <c r="I158" s="429"/>
      <c r="J158" s="429"/>
      <c r="K158" s="433">
        <f t="shared" ref="K158:P158" si="37">SUM(K159:K165)</f>
        <v>1995380.41</v>
      </c>
      <c r="L158" s="433">
        <f t="shared" si="37"/>
        <v>471728.74000000005</v>
      </c>
      <c r="M158" s="433">
        <f t="shared" si="37"/>
        <v>123539.32</v>
      </c>
      <c r="N158" s="433">
        <f t="shared" si="37"/>
        <v>0</v>
      </c>
      <c r="O158" s="433">
        <f t="shared" si="37"/>
        <v>0</v>
      </c>
      <c r="P158" s="433">
        <f t="shared" si="37"/>
        <v>1400112.35</v>
      </c>
      <c r="Q158" s="433">
        <f>SUM(Q159:Q165)</f>
        <v>0</v>
      </c>
      <c r="R158" s="431"/>
      <c r="S158" s="431"/>
      <c r="T158" s="431"/>
      <c r="U158" s="431"/>
      <c r="V158" s="110"/>
      <c r="W158" s="110"/>
      <c r="X158" s="110"/>
    </row>
    <row r="159" spans="1:24" ht="39" customHeight="1" x14ac:dyDescent="0.25">
      <c r="A159" s="39" t="s">
        <v>886</v>
      </c>
      <c r="B159" s="279" t="s">
        <v>559</v>
      </c>
      <c r="C159" s="30" t="s">
        <v>1685</v>
      </c>
      <c r="D159" s="11" t="s">
        <v>850</v>
      </c>
      <c r="E159" s="47" t="s">
        <v>396</v>
      </c>
      <c r="F159" s="11" t="s">
        <v>1400</v>
      </c>
      <c r="G159" s="90" t="s">
        <v>1240</v>
      </c>
      <c r="H159" s="11" t="s">
        <v>1586</v>
      </c>
      <c r="I159" s="11" t="s">
        <v>1582</v>
      </c>
      <c r="J159" s="47"/>
      <c r="K159" s="219">
        <f t="shared" ref="K159:K165" si="38">L159+M159+N159+O159+P159</f>
        <v>47553</v>
      </c>
      <c r="L159" s="219">
        <v>47553</v>
      </c>
      <c r="M159" s="219">
        <v>0</v>
      </c>
      <c r="N159" s="219">
        <v>0</v>
      </c>
      <c r="O159" s="219">
        <v>0</v>
      </c>
      <c r="P159" s="219">
        <v>0</v>
      </c>
      <c r="Q159" s="138">
        <v>0</v>
      </c>
      <c r="R159" s="196" t="s">
        <v>1344</v>
      </c>
      <c r="S159" s="209" t="s">
        <v>1323</v>
      </c>
      <c r="T159" s="209" t="s">
        <v>1330</v>
      </c>
      <c r="U159" s="218">
        <v>2019</v>
      </c>
      <c r="V159" s="110"/>
      <c r="W159" s="110"/>
      <c r="X159" s="110"/>
    </row>
    <row r="160" spans="1:24" ht="39" customHeight="1" x14ac:dyDescent="0.25">
      <c r="A160" s="39" t="s">
        <v>887</v>
      </c>
      <c r="B160" s="279" t="s">
        <v>560</v>
      </c>
      <c r="C160" s="30" t="s">
        <v>340</v>
      </c>
      <c r="D160" s="11" t="s">
        <v>850</v>
      </c>
      <c r="E160" s="47" t="s">
        <v>396</v>
      </c>
      <c r="F160" s="11" t="s">
        <v>1400</v>
      </c>
      <c r="G160" s="90" t="s">
        <v>1240</v>
      </c>
      <c r="H160" s="11" t="s">
        <v>1586</v>
      </c>
      <c r="I160" s="11" t="s">
        <v>1582</v>
      </c>
      <c r="J160" s="47"/>
      <c r="K160" s="219">
        <f t="shared" si="38"/>
        <v>337163.14</v>
      </c>
      <c r="L160" s="219">
        <v>96935.2</v>
      </c>
      <c r="M160" s="219">
        <v>19477.939999999999</v>
      </c>
      <c r="N160" s="219">
        <v>0</v>
      </c>
      <c r="O160" s="219">
        <v>0</v>
      </c>
      <c r="P160" s="293">
        <v>220750</v>
      </c>
      <c r="Q160" s="138">
        <v>0</v>
      </c>
      <c r="R160" s="196" t="s">
        <v>1344</v>
      </c>
      <c r="S160" s="311" t="s">
        <v>1323</v>
      </c>
      <c r="T160" s="217" t="s">
        <v>66</v>
      </c>
      <c r="U160" s="218">
        <v>2019</v>
      </c>
      <c r="V160" s="110"/>
      <c r="W160" s="110"/>
      <c r="X160" s="110"/>
    </row>
    <row r="161" spans="1:24" ht="39" customHeight="1" x14ac:dyDescent="0.25">
      <c r="A161" s="39" t="s">
        <v>1151</v>
      </c>
      <c r="B161" s="279" t="s">
        <v>561</v>
      </c>
      <c r="C161" s="30" t="s">
        <v>334</v>
      </c>
      <c r="D161" s="11" t="s">
        <v>850</v>
      </c>
      <c r="E161" s="47" t="s">
        <v>396</v>
      </c>
      <c r="F161" s="11" t="s">
        <v>1400</v>
      </c>
      <c r="G161" s="90" t="s">
        <v>1240</v>
      </c>
      <c r="H161" s="11" t="s">
        <v>1586</v>
      </c>
      <c r="I161" s="11" t="s">
        <v>1582</v>
      </c>
      <c r="J161" s="47"/>
      <c r="K161" s="219">
        <f t="shared" si="38"/>
        <v>15851</v>
      </c>
      <c r="L161" s="219">
        <v>15851</v>
      </c>
      <c r="M161" s="219">
        <v>0</v>
      </c>
      <c r="N161" s="219">
        <v>0</v>
      </c>
      <c r="O161" s="219">
        <v>0</v>
      </c>
      <c r="P161" s="219">
        <v>0</v>
      </c>
      <c r="Q161" s="138">
        <v>0</v>
      </c>
      <c r="R161" s="196" t="s">
        <v>1344</v>
      </c>
      <c r="S161" s="209" t="s">
        <v>1323</v>
      </c>
      <c r="T161" s="209" t="s">
        <v>1330</v>
      </c>
      <c r="U161" s="218">
        <v>2018</v>
      </c>
      <c r="V161" s="110"/>
      <c r="W161" s="110"/>
      <c r="X161" s="110"/>
    </row>
    <row r="162" spans="1:24" ht="39" customHeight="1" x14ac:dyDescent="0.25">
      <c r="A162" s="39" t="s">
        <v>149</v>
      </c>
      <c r="B162" s="279" t="s">
        <v>562</v>
      </c>
      <c r="C162" s="30" t="s">
        <v>150</v>
      </c>
      <c r="D162" s="11" t="s">
        <v>850</v>
      </c>
      <c r="E162" s="47" t="s">
        <v>396</v>
      </c>
      <c r="F162" s="11" t="s">
        <v>1400</v>
      </c>
      <c r="G162" s="90" t="s">
        <v>1240</v>
      </c>
      <c r="H162" s="11" t="s">
        <v>1586</v>
      </c>
      <c r="I162" s="11" t="s">
        <v>1582</v>
      </c>
      <c r="J162" s="47"/>
      <c r="K162" s="219">
        <f t="shared" si="38"/>
        <v>437375.58</v>
      </c>
      <c r="L162" s="219">
        <v>50950.14</v>
      </c>
      <c r="M162" s="219">
        <v>31331.79</v>
      </c>
      <c r="N162" s="219">
        <v>0</v>
      </c>
      <c r="O162" s="219">
        <v>0</v>
      </c>
      <c r="P162" s="293">
        <v>355093.65</v>
      </c>
      <c r="Q162" s="138">
        <v>0</v>
      </c>
      <c r="R162" s="196" t="s">
        <v>1344</v>
      </c>
      <c r="S162" s="311" t="s">
        <v>1323</v>
      </c>
      <c r="T162" s="217" t="s">
        <v>66</v>
      </c>
      <c r="U162" s="218">
        <v>2019</v>
      </c>
      <c r="V162" s="110"/>
      <c r="W162" s="110"/>
      <c r="X162" s="110"/>
    </row>
    <row r="163" spans="1:24" ht="39" customHeight="1" x14ac:dyDescent="0.25">
      <c r="A163" s="294" t="s">
        <v>362</v>
      </c>
      <c r="B163" s="279" t="s">
        <v>563</v>
      </c>
      <c r="C163" s="294" t="s">
        <v>363</v>
      </c>
      <c r="D163" s="287" t="s">
        <v>1589</v>
      </c>
      <c r="E163" s="32" t="s">
        <v>396</v>
      </c>
      <c r="F163" s="287" t="s">
        <v>1441</v>
      </c>
      <c r="G163" s="287" t="s">
        <v>1240</v>
      </c>
      <c r="H163" s="287" t="s">
        <v>1586</v>
      </c>
      <c r="I163" s="32"/>
      <c r="J163" s="295"/>
      <c r="K163" s="296">
        <f t="shared" si="38"/>
        <v>230599.24</v>
      </c>
      <c r="L163" s="297">
        <v>17294.95</v>
      </c>
      <c r="M163" s="298">
        <v>17294.939999999999</v>
      </c>
      <c r="N163" s="298">
        <v>0</v>
      </c>
      <c r="O163" s="298">
        <v>0</v>
      </c>
      <c r="P163" s="297">
        <v>196009.35</v>
      </c>
      <c r="Q163" s="138">
        <v>0</v>
      </c>
      <c r="R163" s="298" t="s">
        <v>1344</v>
      </c>
      <c r="S163" s="298" t="s">
        <v>1323</v>
      </c>
      <c r="T163" s="298" t="s">
        <v>66</v>
      </c>
      <c r="U163" s="298">
        <v>2019</v>
      </c>
      <c r="V163" s="111"/>
      <c r="W163" s="111"/>
      <c r="X163" s="111"/>
    </row>
    <row r="164" spans="1:24" ht="39" customHeight="1" x14ac:dyDescent="0.25">
      <c r="A164" s="299" t="s">
        <v>364</v>
      </c>
      <c r="B164" s="279" t="s">
        <v>564</v>
      </c>
      <c r="C164" s="294" t="s">
        <v>365</v>
      </c>
      <c r="D164" s="287" t="s">
        <v>1589</v>
      </c>
      <c r="E164" s="34" t="s">
        <v>396</v>
      </c>
      <c r="F164" s="287" t="s">
        <v>1441</v>
      </c>
      <c r="G164" s="287" t="s">
        <v>1240</v>
      </c>
      <c r="H164" s="300" t="s">
        <v>1586</v>
      </c>
      <c r="I164" s="34"/>
      <c r="J164" s="281"/>
      <c r="K164" s="296">
        <f t="shared" si="38"/>
        <v>230599.24</v>
      </c>
      <c r="L164" s="297">
        <v>17294.95</v>
      </c>
      <c r="M164" s="298">
        <v>17294.939999999999</v>
      </c>
      <c r="N164" s="298">
        <v>0</v>
      </c>
      <c r="O164" s="298">
        <v>0</v>
      </c>
      <c r="P164" s="297">
        <v>196009.35</v>
      </c>
      <c r="Q164" s="138">
        <v>0</v>
      </c>
      <c r="R164" s="301" t="s">
        <v>1344</v>
      </c>
      <c r="S164" s="301" t="s">
        <v>1323</v>
      </c>
      <c r="T164" s="301" t="s">
        <v>66</v>
      </c>
      <c r="U164" s="301">
        <v>2019</v>
      </c>
      <c r="V164" s="111"/>
      <c r="W164" s="111"/>
      <c r="X164" s="111"/>
    </row>
    <row r="165" spans="1:24" ht="39" customHeight="1" x14ac:dyDescent="0.25">
      <c r="A165" s="294" t="s">
        <v>1681</v>
      </c>
      <c r="B165" s="279" t="s">
        <v>565</v>
      </c>
      <c r="C165" s="31" t="s">
        <v>1682</v>
      </c>
      <c r="D165" s="32" t="s">
        <v>850</v>
      </c>
      <c r="E165" s="32" t="s">
        <v>396</v>
      </c>
      <c r="F165" s="32" t="s">
        <v>1400</v>
      </c>
      <c r="G165" s="287" t="s">
        <v>1240</v>
      </c>
      <c r="H165" s="32" t="s">
        <v>1586</v>
      </c>
      <c r="I165" s="31"/>
      <c r="J165" s="31"/>
      <c r="K165" s="226">
        <f t="shared" si="38"/>
        <v>696239.21</v>
      </c>
      <c r="L165" s="293">
        <v>225849.5</v>
      </c>
      <c r="M165" s="293">
        <v>38139.71</v>
      </c>
      <c r="N165" s="293">
        <v>0</v>
      </c>
      <c r="O165" s="293">
        <v>0</v>
      </c>
      <c r="P165" s="293">
        <v>432250</v>
      </c>
      <c r="Q165" s="138">
        <v>0</v>
      </c>
      <c r="R165" s="302" t="s">
        <v>1344</v>
      </c>
      <c r="S165" s="311" t="s">
        <v>1323</v>
      </c>
      <c r="T165" s="217" t="s">
        <v>66</v>
      </c>
      <c r="U165" s="286">
        <v>2019</v>
      </c>
      <c r="V165" s="111"/>
      <c r="W165" s="111"/>
      <c r="X165" s="111"/>
    </row>
    <row r="166" spans="1:24" ht="39" customHeight="1" x14ac:dyDescent="0.25">
      <c r="A166" s="428" t="s">
        <v>245</v>
      </c>
      <c r="B166" s="429"/>
      <c r="C166" s="428" t="s">
        <v>250</v>
      </c>
      <c r="D166" s="429"/>
      <c r="E166" s="429"/>
      <c r="F166" s="429"/>
      <c r="G166" s="429"/>
      <c r="H166" s="429"/>
      <c r="I166" s="429"/>
      <c r="J166" s="429"/>
      <c r="K166" s="433">
        <v>0</v>
      </c>
      <c r="L166" s="433">
        <v>0</v>
      </c>
      <c r="M166" s="433">
        <v>0</v>
      </c>
      <c r="N166" s="433">
        <v>0</v>
      </c>
      <c r="O166" s="433">
        <v>0</v>
      </c>
      <c r="P166" s="433">
        <v>0</v>
      </c>
      <c r="Q166" s="433">
        <v>0</v>
      </c>
      <c r="R166" s="431"/>
      <c r="S166" s="431"/>
      <c r="T166" s="431"/>
      <c r="U166" s="431"/>
      <c r="V166" s="110"/>
      <c r="W166" s="110"/>
      <c r="X166" s="110"/>
    </row>
    <row r="167" spans="1:24" ht="39" customHeight="1" x14ac:dyDescent="0.25">
      <c r="A167" s="428" t="s">
        <v>246</v>
      </c>
      <c r="B167" s="429"/>
      <c r="C167" s="428" t="s">
        <v>251</v>
      </c>
      <c r="D167" s="429"/>
      <c r="E167" s="429"/>
      <c r="F167" s="429"/>
      <c r="G167" s="429"/>
      <c r="H167" s="429"/>
      <c r="I167" s="429"/>
      <c r="J167" s="429"/>
      <c r="K167" s="433">
        <f t="shared" ref="K167:Q167" si="39">K168</f>
        <v>154482.75</v>
      </c>
      <c r="L167" s="433">
        <f t="shared" si="39"/>
        <v>11586.21</v>
      </c>
      <c r="M167" s="433">
        <f t="shared" si="39"/>
        <v>11586.21</v>
      </c>
      <c r="N167" s="433">
        <f t="shared" si="39"/>
        <v>0</v>
      </c>
      <c r="O167" s="433">
        <f t="shared" si="39"/>
        <v>0</v>
      </c>
      <c r="P167" s="433">
        <f t="shared" si="39"/>
        <v>131310.32999999999</v>
      </c>
      <c r="Q167" s="433">
        <f t="shared" si="39"/>
        <v>0</v>
      </c>
      <c r="R167" s="431"/>
      <c r="S167" s="431"/>
      <c r="T167" s="431"/>
      <c r="U167" s="431"/>
      <c r="V167" s="110"/>
      <c r="W167" s="110"/>
      <c r="X167" s="110"/>
    </row>
    <row r="168" spans="1:24" ht="39" customHeight="1" x14ac:dyDescent="0.25">
      <c r="A168" s="31" t="s">
        <v>1152</v>
      </c>
      <c r="B168" s="279" t="s">
        <v>566</v>
      </c>
      <c r="C168" s="31" t="s">
        <v>371</v>
      </c>
      <c r="D168" s="32" t="s">
        <v>1145</v>
      </c>
      <c r="E168" s="32" t="s">
        <v>396</v>
      </c>
      <c r="F168" s="32" t="s">
        <v>1147</v>
      </c>
      <c r="G168" s="287" t="s">
        <v>1240</v>
      </c>
      <c r="H168" s="32" t="s">
        <v>1586</v>
      </c>
      <c r="I168" s="31"/>
      <c r="J168" s="31"/>
      <c r="K168" s="226">
        <f>L168+M168+N168+O168+P168</f>
        <v>154482.75</v>
      </c>
      <c r="L168" s="139">
        <v>11586.21</v>
      </c>
      <c r="M168" s="139">
        <v>11586.21</v>
      </c>
      <c r="N168" s="139">
        <v>0</v>
      </c>
      <c r="O168" s="139">
        <v>0</v>
      </c>
      <c r="P168" s="139">
        <v>131310.32999999999</v>
      </c>
      <c r="Q168" s="139">
        <v>0</v>
      </c>
      <c r="R168" s="302" t="s">
        <v>1316</v>
      </c>
      <c r="S168" s="217" t="s">
        <v>1330</v>
      </c>
      <c r="T168" s="217" t="s">
        <v>1326</v>
      </c>
      <c r="U168" s="286">
        <v>2020</v>
      </c>
      <c r="V168" s="111"/>
      <c r="W168" s="111"/>
      <c r="X168" s="111"/>
    </row>
    <row r="169" spans="1:24" ht="39" customHeight="1" x14ac:dyDescent="0.25">
      <c r="A169" s="428" t="s">
        <v>247</v>
      </c>
      <c r="B169" s="429"/>
      <c r="C169" s="428" t="s">
        <v>252</v>
      </c>
      <c r="D169" s="429"/>
      <c r="E169" s="429"/>
      <c r="F169" s="429"/>
      <c r="G169" s="429"/>
      <c r="H169" s="429"/>
      <c r="I169" s="429"/>
      <c r="J169" s="429"/>
      <c r="K169" s="433">
        <v>0</v>
      </c>
      <c r="L169" s="433">
        <v>0</v>
      </c>
      <c r="M169" s="433">
        <v>0</v>
      </c>
      <c r="N169" s="433">
        <v>0</v>
      </c>
      <c r="O169" s="433">
        <v>0</v>
      </c>
      <c r="P169" s="433">
        <v>0</v>
      </c>
      <c r="Q169" s="433">
        <v>0</v>
      </c>
      <c r="R169" s="431"/>
      <c r="S169" s="431"/>
      <c r="T169" s="431"/>
      <c r="U169" s="431"/>
      <c r="V169" s="110"/>
      <c r="W169" s="110"/>
      <c r="X169" s="110"/>
    </row>
    <row r="170" spans="1:24" ht="39" customHeight="1" x14ac:dyDescent="0.25">
      <c r="A170" s="428" t="s">
        <v>253</v>
      </c>
      <c r="B170" s="429"/>
      <c r="C170" s="428" t="s">
        <v>257</v>
      </c>
      <c r="D170" s="429"/>
      <c r="E170" s="429"/>
      <c r="F170" s="429"/>
      <c r="G170" s="429"/>
      <c r="H170" s="429"/>
      <c r="I170" s="429"/>
      <c r="J170" s="429"/>
      <c r="K170" s="433">
        <v>0</v>
      </c>
      <c r="L170" s="433">
        <v>0</v>
      </c>
      <c r="M170" s="433">
        <v>0</v>
      </c>
      <c r="N170" s="433">
        <v>0</v>
      </c>
      <c r="O170" s="433">
        <v>0</v>
      </c>
      <c r="P170" s="433">
        <v>0</v>
      </c>
      <c r="Q170" s="433">
        <v>0</v>
      </c>
      <c r="R170" s="431"/>
      <c r="S170" s="431"/>
      <c r="T170" s="431"/>
      <c r="U170" s="431"/>
      <c r="V170" s="110"/>
      <c r="W170" s="110"/>
      <c r="X170" s="110"/>
    </row>
    <row r="171" spans="1:24" ht="39" customHeight="1" x14ac:dyDescent="0.25">
      <c r="A171" s="428" t="s">
        <v>254</v>
      </c>
      <c r="B171" s="429"/>
      <c r="C171" s="428" t="s">
        <v>258</v>
      </c>
      <c r="D171" s="429"/>
      <c r="E171" s="429"/>
      <c r="F171" s="429"/>
      <c r="G171" s="429"/>
      <c r="H171" s="429"/>
      <c r="I171" s="429"/>
      <c r="J171" s="429"/>
      <c r="K171" s="433">
        <f t="shared" ref="K171:Q171" si="40">SUM(K172:K172)</f>
        <v>5927170</v>
      </c>
      <c r="L171" s="433">
        <f t="shared" si="40"/>
        <v>1185430</v>
      </c>
      <c r="M171" s="433">
        <f t="shared" si="40"/>
        <v>4741740</v>
      </c>
      <c r="N171" s="433">
        <f t="shared" si="40"/>
        <v>0</v>
      </c>
      <c r="O171" s="433">
        <f t="shared" si="40"/>
        <v>0</v>
      </c>
      <c r="P171" s="433">
        <f t="shared" si="40"/>
        <v>0</v>
      </c>
      <c r="Q171" s="433">
        <f t="shared" si="40"/>
        <v>0</v>
      </c>
      <c r="R171" s="433"/>
      <c r="S171" s="431"/>
      <c r="T171" s="431"/>
      <c r="U171" s="431"/>
      <c r="V171" s="110"/>
      <c r="W171" s="110"/>
      <c r="X171" s="110"/>
    </row>
    <row r="172" spans="1:24" ht="39" customHeight="1" x14ac:dyDescent="0.25">
      <c r="A172" s="30" t="s">
        <v>393</v>
      </c>
      <c r="B172" s="279" t="s">
        <v>567</v>
      </c>
      <c r="C172" s="30" t="s">
        <v>394</v>
      </c>
      <c r="D172" s="47" t="s">
        <v>1590</v>
      </c>
      <c r="E172" s="47" t="s">
        <v>395</v>
      </c>
      <c r="F172" s="47" t="s">
        <v>1446</v>
      </c>
      <c r="G172" s="47" t="s">
        <v>816</v>
      </c>
      <c r="H172" s="87" t="s">
        <v>1592</v>
      </c>
      <c r="I172" s="47"/>
      <c r="J172" s="47"/>
      <c r="K172" s="199">
        <f>L172+M172+N172+O172+P172</f>
        <v>5927170</v>
      </c>
      <c r="L172" s="199">
        <v>1185430</v>
      </c>
      <c r="M172" s="199">
        <v>4741740</v>
      </c>
      <c r="N172" s="200">
        <v>0</v>
      </c>
      <c r="O172" s="200">
        <v>0</v>
      </c>
      <c r="P172" s="199">
        <v>0</v>
      </c>
      <c r="Q172" s="139">
        <v>0</v>
      </c>
      <c r="R172" s="188" t="s">
        <v>1319</v>
      </c>
      <c r="S172" s="188" t="s">
        <v>1319</v>
      </c>
      <c r="T172" s="188" t="s">
        <v>1321</v>
      </c>
      <c r="U172" s="188">
        <v>2020</v>
      </c>
      <c r="V172" s="111"/>
      <c r="W172" s="111"/>
      <c r="X172" s="110"/>
    </row>
    <row r="173" spans="1:24" ht="39" customHeight="1" x14ac:dyDescent="0.25">
      <c r="A173" s="428" t="s">
        <v>255</v>
      </c>
      <c r="B173" s="429"/>
      <c r="C173" s="428" t="s">
        <v>1706</v>
      </c>
      <c r="D173" s="429"/>
      <c r="E173" s="429"/>
      <c r="F173" s="429"/>
      <c r="G173" s="429"/>
      <c r="H173" s="429"/>
      <c r="I173" s="429"/>
      <c r="J173" s="429"/>
      <c r="K173" s="433">
        <v>0</v>
      </c>
      <c r="L173" s="433">
        <v>0</v>
      </c>
      <c r="M173" s="433">
        <v>0</v>
      </c>
      <c r="N173" s="433">
        <v>0</v>
      </c>
      <c r="O173" s="433">
        <v>0</v>
      </c>
      <c r="P173" s="433">
        <v>0</v>
      </c>
      <c r="Q173" s="433">
        <v>0</v>
      </c>
      <c r="R173" s="431"/>
      <c r="S173" s="431"/>
      <c r="T173" s="431"/>
      <c r="U173" s="431"/>
      <c r="V173" s="110"/>
      <c r="W173" s="110"/>
      <c r="X173" s="110"/>
    </row>
    <row r="174" spans="1:24" ht="39" customHeight="1" x14ac:dyDescent="0.25">
      <c r="A174" s="428" t="s">
        <v>256</v>
      </c>
      <c r="B174" s="429"/>
      <c r="C174" s="428" t="s">
        <v>1707</v>
      </c>
      <c r="D174" s="429"/>
      <c r="E174" s="429"/>
      <c r="F174" s="429"/>
      <c r="G174" s="429"/>
      <c r="H174" s="429"/>
      <c r="I174" s="429"/>
      <c r="J174" s="429"/>
      <c r="K174" s="433">
        <v>0</v>
      </c>
      <c r="L174" s="433">
        <v>0</v>
      </c>
      <c r="M174" s="433">
        <v>0</v>
      </c>
      <c r="N174" s="433">
        <v>0</v>
      </c>
      <c r="O174" s="433">
        <v>0</v>
      </c>
      <c r="P174" s="433">
        <v>0</v>
      </c>
      <c r="Q174" s="433">
        <v>0</v>
      </c>
      <c r="R174" s="431"/>
      <c r="S174" s="431"/>
      <c r="T174" s="431"/>
      <c r="U174" s="431"/>
      <c r="V174" s="110"/>
      <c r="W174" s="110"/>
      <c r="X174" s="110"/>
    </row>
    <row r="175" spans="1:24" ht="39" customHeight="1" x14ac:dyDescent="0.25">
      <c r="A175" s="415" t="s">
        <v>1636</v>
      </c>
      <c r="B175" s="414"/>
      <c r="C175" s="415" t="s">
        <v>1637</v>
      </c>
      <c r="D175" s="414"/>
      <c r="E175" s="414"/>
      <c r="F175" s="414"/>
      <c r="G175" s="414"/>
      <c r="H175" s="414"/>
      <c r="I175" s="414"/>
      <c r="J175" s="414"/>
      <c r="K175" s="416">
        <f t="shared" ref="K175:Q175" si="41">K176+K177</f>
        <v>9515692.8200000003</v>
      </c>
      <c r="L175" s="416">
        <f t="shared" si="41"/>
        <v>857001.51999999979</v>
      </c>
      <c r="M175" s="416">
        <f t="shared" si="41"/>
        <v>3340186.3100000005</v>
      </c>
      <c r="N175" s="416">
        <f t="shared" si="41"/>
        <v>0</v>
      </c>
      <c r="O175" s="416">
        <f t="shared" si="41"/>
        <v>406000</v>
      </c>
      <c r="P175" s="416">
        <f t="shared" si="41"/>
        <v>4912504.99</v>
      </c>
      <c r="Q175" s="416">
        <f t="shared" si="41"/>
        <v>0</v>
      </c>
      <c r="R175" s="417"/>
      <c r="S175" s="417"/>
      <c r="T175" s="417"/>
      <c r="U175" s="417"/>
      <c r="V175" s="110"/>
      <c r="W175" s="110"/>
      <c r="X175" s="110"/>
    </row>
    <row r="176" spans="1:24" ht="39" customHeight="1" x14ac:dyDescent="0.25">
      <c r="A176" s="428" t="s">
        <v>1708</v>
      </c>
      <c r="B176" s="429"/>
      <c r="C176" s="428" t="s">
        <v>1714</v>
      </c>
      <c r="D176" s="429"/>
      <c r="E176" s="429"/>
      <c r="F176" s="429"/>
      <c r="G176" s="429"/>
      <c r="H176" s="429"/>
      <c r="I176" s="429"/>
      <c r="J176" s="429"/>
      <c r="K176" s="433">
        <v>0</v>
      </c>
      <c r="L176" s="433">
        <v>0</v>
      </c>
      <c r="M176" s="433">
        <v>0</v>
      </c>
      <c r="N176" s="433">
        <v>0</v>
      </c>
      <c r="O176" s="433">
        <v>0</v>
      </c>
      <c r="P176" s="433">
        <v>0</v>
      </c>
      <c r="Q176" s="433">
        <v>0</v>
      </c>
      <c r="R176" s="431"/>
      <c r="S176" s="431"/>
      <c r="T176" s="431"/>
      <c r="U176" s="431"/>
      <c r="V176" s="110"/>
      <c r="W176" s="110"/>
      <c r="X176" s="110"/>
    </row>
    <row r="177" spans="1:25" ht="39" customHeight="1" x14ac:dyDescent="0.25">
      <c r="A177" s="428" t="s">
        <v>1709</v>
      </c>
      <c r="B177" s="429"/>
      <c r="C177" s="428" t="s">
        <v>1715</v>
      </c>
      <c r="D177" s="429"/>
      <c r="E177" s="429"/>
      <c r="F177" s="429"/>
      <c r="G177" s="429"/>
      <c r="H177" s="429"/>
      <c r="I177" s="429"/>
      <c r="J177" s="429"/>
      <c r="K177" s="433">
        <f t="shared" ref="K177:Q177" si="42">SUM(K178:K196)</f>
        <v>9515692.8200000003</v>
      </c>
      <c r="L177" s="433">
        <f t="shared" si="42"/>
        <v>857001.51999999979</v>
      </c>
      <c r="M177" s="433">
        <f t="shared" si="42"/>
        <v>3340186.3100000005</v>
      </c>
      <c r="N177" s="433">
        <f t="shared" si="42"/>
        <v>0</v>
      </c>
      <c r="O177" s="433">
        <f t="shared" si="42"/>
        <v>406000</v>
      </c>
      <c r="P177" s="433">
        <f t="shared" si="42"/>
        <v>4912504.99</v>
      </c>
      <c r="Q177" s="433">
        <f t="shared" si="42"/>
        <v>0</v>
      </c>
      <c r="R177" s="431"/>
      <c r="S177" s="431"/>
      <c r="T177" s="431"/>
      <c r="U177" s="431"/>
      <c r="V177" s="110"/>
      <c r="W177" s="110"/>
      <c r="X177" s="110"/>
    </row>
    <row r="178" spans="1:25" ht="39" customHeight="1" x14ac:dyDescent="0.25">
      <c r="A178" s="30" t="s">
        <v>801</v>
      </c>
      <c r="B178" s="279" t="s">
        <v>568</v>
      </c>
      <c r="C178" s="31" t="s">
        <v>372</v>
      </c>
      <c r="D178" s="11" t="s">
        <v>1580</v>
      </c>
      <c r="E178" s="11" t="s">
        <v>396</v>
      </c>
      <c r="F178" s="11" t="s">
        <v>1456</v>
      </c>
      <c r="G178" s="14" t="s">
        <v>1240</v>
      </c>
      <c r="H178" s="11" t="s">
        <v>1586</v>
      </c>
      <c r="I178" s="14"/>
      <c r="J178" s="14"/>
      <c r="K178" s="226">
        <f>L178+M178+N178+O178+P178</f>
        <v>255109.37</v>
      </c>
      <c r="L178" s="138">
        <v>19133.21</v>
      </c>
      <c r="M178" s="138">
        <v>19133.2</v>
      </c>
      <c r="N178" s="138">
        <v>0</v>
      </c>
      <c r="O178" s="138">
        <v>0</v>
      </c>
      <c r="P178" s="138">
        <v>216842.96</v>
      </c>
      <c r="Q178" s="138">
        <v>0</v>
      </c>
      <c r="R178" s="217" t="s">
        <v>1316</v>
      </c>
      <c r="S178" s="217" t="s">
        <v>1330</v>
      </c>
      <c r="T178" s="217" t="s">
        <v>66</v>
      </c>
      <c r="U178" s="217">
        <v>2020</v>
      </c>
      <c r="V178" s="111"/>
      <c r="W178" s="111"/>
      <c r="X178" s="111"/>
    </row>
    <row r="179" spans="1:25" ht="39" customHeight="1" x14ac:dyDescent="0.25">
      <c r="A179" s="23" t="s">
        <v>888</v>
      </c>
      <c r="B179" s="279" t="s">
        <v>569</v>
      </c>
      <c r="C179" s="23" t="s">
        <v>1508</v>
      </c>
      <c r="D179" s="11" t="s">
        <v>1587</v>
      </c>
      <c r="E179" s="11" t="s">
        <v>392</v>
      </c>
      <c r="F179" s="11" t="s">
        <v>1454</v>
      </c>
      <c r="G179" s="14" t="s">
        <v>1183</v>
      </c>
      <c r="H179" s="11" t="s">
        <v>1586</v>
      </c>
      <c r="I179" s="11"/>
      <c r="J179" s="11"/>
      <c r="K179" s="201">
        <f>L179+P179</f>
        <v>330335.2</v>
      </c>
      <c r="L179" s="201">
        <v>130335.2</v>
      </c>
      <c r="M179" s="202">
        <v>0</v>
      </c>
      <c r="N179" s="202">
        <v>0</v>
      </c>
      <c r="O179" s="202">
        <v>0</v>
      </c>
      <c r="P179" s="201">
        <v>200000</v>
      </c>
      <c r="Q179" s="138">
        <v>0</v>
      </c>
      <c r="R179" s="220" t="s">
        <v>1318</v>
      </c>
      <c r="S179" s="214" t="s">
        <v>1345</v>
      </c>
      <c r="T179" s="214" t="s">
        <v>1316</v>
      </c>
      <c r="U179" s="188">
        <v>2019</v>
      </c>
      <c r="V179" s="111"/>
      <c r="W179" s="111"/>
      <c r="X179" s="110"/>
    </row>
    <row r="180" spans="1:25" ht="39" customHeight="1" x14ac:dyDescent="0.25">
      <c r="A180" s="30" t="s">
        <v>889</v>
      </c>
      <c r="B180" s="279" t="s">
        <v>570</v>
      </c>
      <c r="C180" s="31" t="s">
        <v>46</v>
      </c>
      <c r="D180" s="47" t="s">
        <v>1587</v>
      </c>
      <c r="E180" s="33" t="s">
        <v>396</v>
      </c>
      <c r="F180" s="47" t="s">
        <v>1454</v>
      </c>
      <c r="G180" s="14" t="s">
        <v>1240</v>
      </c>
      <c r="H180" s="33" t="s">
        <v>1586</v>
      </c>
      <c r="I180" s="33"/>
      <c r="J180" s="221"/>
      <c r="K180" s="226">
        <f>L180+M180+N180+O180+P180</f>
        <v>353960.46</v>
      </c>
      <c r="L180" s="139">
        <v>26547.040000000001</v>
      </c>
      <c r="M180" s="138">
        <v>26547.03</v>
      </c>
      <c r="N180" s="138">
        <v>0</v>
      </c>
      <c r="O180" s="138">
        <v>0</v>
      </c>
      <c r="P180" s="139">
        <v>300866.39</v>
      </c>
      <c r="Q180" s="138">
        <v>0</v>
      </c>
      <c r="R180" s="303" t="s">
        <v>1316</v>
      </c>
      <c r="S180" s="217" t="s">
        <v>1330</v>
      </c>
      <c r="T180" s="217" t="s">
        <v>66</v>
      </c>
      <c r="U180" s="217">
        <v>2020</v>
      </c>
      <c r="V180" s="110"/>
      <c r="W180" s="110"/>
      <c r="X180" s="110"/>
    </row>
    <row r="181" spans="1:25" ht="39" customHeight="1" x14ac:dyDescent="0.25">
      <c r="A181" s="30" t="s">
        <v>890</v>
      </c>
      <c r="B181" s="279" t="s">
        <v>571</v>
      </c>
      <c r="C181" s="19" t="s">
        <v>144</v>
      </c>
      <c r="D181" s="14" t="s">
        <v>1443</v>
      </c>
      <c r="E181" s="12" t="s">
        <v>396</v>
      </c>
      <c r="F181" s="12" t="s">
        <v>1455</v>
      </c>
      <c r="G181" s="14" t="s">
        <v>1241</v>
      </c>
      <c r="H181" s="12" t="s">
        <v>1586</v>
      </c>
      <c r="I181" s="12"/>
      <c r="J181" s="12"/>
      <c r="K181" s="226">
        <f t="shared" ref="K181:K196" si="43">L181+M181+N181+O181+P181</f>
        <v>513630</v>
      </c>
      <c r="L181" s="212">
        <v>38523</v>
      </c>
      <c r="M181" s="212">
        <v>38522</v>
      </c>
      <c r="N181" s="222">
        <v>0</v>
      </c>
      <c r="O181" s="222">
        <v>0</v>
      </c>
      <c r="P181" s="212">
        <v>436585</v>
      </c>
      <c r="Q181" s="138">
        <v>0</v>
      </c>
      <c r="R181" s="213" t="s">
        <v>1406</v>
      </c>
      <c r="S181" s="214" t="s">
        <v>1316</v>
      </c>
      <c r="T181" s="214" t="s">
        <v>1325</v>
      </c>
      <c r="U181" s="214">
        <v>2020</v>
      </c>
      <c r="V181" s="111"/>
      <c r="W181" s="111"/>
      <c r="X181" s="110"/>
    </row>
    <row r="182" spans="1:25" ht="39" customHeight="1" x14ac:dyDescent="0.25">
      <c r="A182" s="30" t="s">
        <v>891</v>
      </c>
      <c r="B182" s="279" t="s">
        <v>572</v>
      </c>
      <c r="C182" s="281" t="s">
        <v>373</v>
      </c>
      <c r="D182" s="14" t="s">
        <v>1443</v>
      </c>
      <c r="E182" s="12" t="s">
        <v>396</v>
      </c>
      <c r="F182" s="16" t="s">
        <v>1455</v>
      </c>
      <c r="G182" s="14" t="s">
        <v>1240</v>
      </c>
      <c r="H182" s="12" t="s">
        <v>1586</v>
      </c>
      <c r="I182" s="16"/>
      <c r="J182" s="16"/>
      <c r="K182" s="226">
        <f t="shared" si="43"/>
        <v>235982.84</v>
      </c>
      <c r="L182" s="226">
        <v>17699</v>
      </c>
      <c r="M182" s="226">
        <v>17698</v>
      </c>
      <c r="N182" s="226">
        <v>0</v>
      </c>
      <c r="O182" s="226">
        <v>0</v>
      </c>
      <c r="P182" s="226">
        <v>200585.84</v>
      </c>
      <c r="Q182" s="138">
        <v>0</v>
      </c>
      <c r="R182" s="227" t="s">
        <v>1344</v>
      </c>
      <c r="S182" s="228" t="s">
        <v>1330</v>
      </c>
      <c r="T182" s="214" t="s">
        <v>1324</v>
      </c>
      <c r="U182" s="214">
        <v>2020</v>
      </c>
      <c r="V182" s="111"/>
      <c r="W182" s="111"/>
      <c r="X182" s="110"/>
    </row>
    <row r="183" spans="1:25" ht="39" customHeight="1" x14ac:dyDescent="0.25">
      <c r="A183" s="30" t="s">
        <v>892</v>
      </c>
      <c r="B183" s="279" t="s">
        <v>1843</v>
      </c>
      <c r="C183" s="36" t="s">
        <v>815</v>
      </c>
      <c r="D183" s="14" t="s">
        <v>1443</v>
      </c>
      <c r="E183" s="12" t="s">
        <v>396</v>
      </c>
      <c r="F183" s="12" t="s">
        <v>1455</v>
      </c>
      <c r="G183" s="12" t="s">
        <v>816</v>
      </c>
      <c r="H183" s="12" t="s">
        <v>1586</v>
      </c>
      <c r="I183" s="16"/>
      <c r="J183" s="16"/>
      <c r="K183" s="226">
        <f t="shared" si="43"/>
        <v>1727000</v>
      </c>
      <c r="L183" s="223">
        <v>107000</v>
      </c>
      <c r="M183" s="223">
        <v>715000</v>
      </c>
      <c r="N183" s="222">
        <v>0</v>
      </c>
      <c r="O183" s="223">
        <v>178000</v>
      </c>
      <c r="P183" s="223">
        <v>727000</v>
      </c>
      <c r="Q183" s="138">
        <v>0</v>
      </c>
      <c r="R183" s="213" t="s">
        <v>804</v>
      </c>
      <c r="S183" s="214" t="s">
        <v>804</v>
      </c>
      <c r="T183" s="214" t="s">
        <v>1186</v>
      </c>
      <c r="U183" s="214">
        <v>2017</v>
      </c>
      <c r="V183" s="111"/>
      <c r="W183" s="111"/>
      <c r="X183" s="110"/>
    </row>
    <row r="184" spans="1:25" ht="39" customHeight="1" x14ac:dyDescent="0.25">
      <c r="A184" s="30" t="s">
        <v>893</v>
      </c>
      <c r="B184" s="279" t="s">
        <v>1842</v>
      </c>
      <c r="C184" s="36" t="s">
        <v>1215</v>
      </c>
      <c r="D184" s="14" t="s">
        <v>1443</v>
      </c>
      <c r="E184" s="12" t="s">
        <v>396</v>
      </c>
      <c r="F184" s="35" t="s">
        <v>1455</v>
      </c>
      <c r="G184" s="12" t="s">
        <v>1841</v>
      </c>
      <c r="H184" s="12" t="s">
        <v>1586</v>
      </c>
      <c r="I184" s="16"/>
      <c r="J184" s="16"/>
      <c r="K184" s="226">
        <f t="shared" si="43"/>
        <v>2241000</v>
      </c>
      <c r="L184" s="223">
        <v>318000</v>
      </c>
      <c r="M184" s="223">
        <v>1001000</v>
      </c>
      <c r="N184" s="222">
        <v>0</v>
      </c>
      <c r="O184" s="222">
        <v>0</v>
      </c>
      <c r="P184" s="223">
        <v>922000</v>
      </c>
      <c r="Q184" s="138">
        <v>0</v>
      </c>
      <c r="R184" s="213" t="s">
        <v>807</v>
      </c>
      <c r="S184" s="214" t="s">
        <v>807</v>
      </c>
      <c r="T184" s="214" t="s">
        <v>1333</v>
      </c>
      <c r="U184" s="214">
        <v>2020</v>
      </c>
      <c r="V184" s="111"/>
      <c r="W184" s="111"/>
      <c r="X184" s="110"/>
    </row>
    <row r="185" spans="1:25" ht="39" customHeight="1" x14ac:dyDescent="0.25">
      <c r="A185" s="30" t="s">
        <v>894</v>
      </c>
      <c r="B185" s="279" t="s">
        <v>573</v>
      </c>
      <c r="C185" s="36" t="s">
        <v>817</v>
      </c>
      <c r="D185" s="14" t="s">
        <v>1443</v>
      </c>
      <c r="E185" s="12" t="s">
        <v>396</v>
      </c>
      <c r="F185" s="12" t="s">
        <v>1455</v>
      </c>
      <c r="G185" s="12" t="s">
        <v>816</v>
      </c>
      <c r="H185" s="12" t="s">
        <v>1586</v>
      </c>
      <c r="I185" s="16"/>
      <c r="J185" s="16"/>
      <c r="K185" s="226">
        <f t="shared" si="43"/>
        <v>738000</v>
      </c>
      <c r="L185" s="223">
        <v>21000</v>
      </c>
      <c r="M185" s="223">
        <v>628000</v>
      </c>
      <c r="N185" s="222">
        <v>0</v>
      </c>
      <c r="O185" s="223">
        <v>89000</v>
      </c>
      <c r="P185" s="222">
        <v>0</v>
      </c>
      <c r="Q185" s="138">
        <v>0</v>
      </c>
      <c r="R185" s="213" t="s">
        <v>1321</v>
      </c>
      <c r="S185" s="214" t="s">
        <v>1321</v>
      </c>
      <c r="T185" s="214" t="s">
        <v>1322</v>
      </c>
      <c r="U185" s="214">
        <v>2020</v>
      </c>
      <c r="V185" s="111"/>
      <c r="W185" s="111"/>
      <c r="X185" s="110"/>
    </row>
    <row r="186" spans="1:25" ht="39" customHeight="1" x14ac:dyDescent="0.25">
      <c r="A186" s="30" t="s">
        <v>895</v>
      </c>
      <c r="B186" s="279" t="s">
        <v>1844</v>
      </c>
      <c r="C186" s="36" t="s">
        <v>818</v>
      </c>
      <c r="D186" s="12" t="s">
        <v>1443</v>
      </c>
      <c r="E186" s="12" t="s">
        <v>819</v>
      </c>
      <c r="F186" s="35" t="s">
        <v>1455</v>
      </c>
      <c r="G186" s="12" t="s">
        <v>816</v>
      </c>
      <c r="H186" s="12" t="s">
        <v>1586</v>
      </c>
      <c r="I186" s="16"/>
      <c r="J186" s="16"/>
      <c r="K186" s="226">
        <f t="shared" si="43"/>
        <v>260658</v>
      </c>
      <c r="L186" s="223">
        <v>0</v>
      </c>
      <c r="M186" s="223">
        <v>260658</v>
      </c>
      <c r="N186" s="222">
        <v>0</v>
      </c>
      <c r="O186" s="222">
        <v>0</v>
      </c>
      <c r="P186" s="222">
        <v>0</v>
      </c>
      <c r="Q186" s="138">
        <v>0</v>
      </c>
      <c r="R186" s="213" t="s">
        <v>804</v>
      </c>
      <c r="S186" s="214" t="s">
        <v>804</v>
      </c>
      <c r="T186" s="214" t="s">
        <v>1186</v>
      </c>
      <c r="U186" s="214">
        <v>2020</v>
      </c>
      <c r="V186" s="111"/>
      <c r="W186" s="111"/>
      <c r="X186" s="110"/>
    </row>
    <row r="187" spans="1:25" ht="39" customHeight="1" x14ac:dyDescent="0.25">
      <c r="A187" s="30" t="s">
        <v>896</v>
      </c>
      <c r="B187" s="279" t="s">
        <v>1845</v>
      </c>
      <c r="C187" s="36" t="s">
        <v>820</v>
      </c>
      <c r="D187" s="12" t="s">
        <v>1443</v>
      </c>
      <c r="E187" s="12" t="s">
        <v>819</v>
      </c>
      <c r="F187" s="35" t="s">
        <v>1455</v>
      </c>
      <c r="G187" s="12" t="s">
        <v>816</v>
      </c>
      <c r="H187" s="12" t="s">
        <v>1586</v>
      </c>
      <c r="I187" s="16"/>
      <c r="J187" s="16"/>
      <c r="K187" s="226">
        <f t="shared" si="43"/>
        <v>175220</v>
      </c>
      <c r="L187" s="223">
        <v>0</v>
      </c>
      <c r="M187" s="223">
        <v>175220</v>
      </c>
      <c r="N187" s="222">
        <v>0</v>
      </c>
      <c r="O187" s="222">
        <v>0</v>
      </c>
      <c r="P187" s="222">
        <v>0</v>
      </c>
      <c r="Q187" s="138">
        <v>0</v>
      </c>
      <c r="R187" s="213" t="s">
        <v>1321</v>
      </c>
      <c r="S187" s="214" t="s">
        <v>1321</v>
      </c>
      <c r="T187" s="214" t="s">
        <v>1322</v>
      </c>
      <c r="U187" s="214">
        <v>2018</v>
      </c>
      <c r="V187" s="111"/>
      <c r="W187" s="111"/>
      <c r="X187" s="110"/>
    </row>
    <row r="188" spans="1:25" ht="39" customHeight="1" x14ac:dyDescent="0.25">
      <c r="A188" s="30" t="s">
        <v>897</v>
      </c>
      <c r="B188" s="279" t="s">
        <v>574</v>
      </c>
      <c r="C188" s="19" t="s">
        <v>821</v>
      </c>
      <c r="D188" s="14" t="s">
        <v>1443</v>
      </c>
      <c r="E188" s="12" t="s">
        <v>396</v>
      </c>
      <c r="F188" s="12" t="s">
        <v>1455</v>
      </c>
      <c r="G188" s="12" t="s">
        <v>816</v>
      </c>
      <c r="H188" s="12" t="s">
        <v>1586</v>
      </c>
      <c r="I188" s="12"/>
      <c r="J188" s="12"/>
      <c r="K188" s="226">
        <f t="shared" si="43"/>
        <v>435000</v>
      </c>
      <c r="L188" s="223">
        <v>6000</v>
      </c>
      <c r="M188" s="223">
        <v>290000</v>
      </c>
      <c r="N188" s="223">
        <v>0</v>
      </c>
      <c r="O188" s="223">
        <v>139000</v>
      </c>
      <c r="P188" s="223">
        <v>0</v>
      </c>
      <c r="Q188" s="138">
        <v>0</v>
      </c>
      <c r="R188" s="213" t="s">
        <v>804</v>
      </c>
      <c r="S188" s="214" t="s">
        <v>804</v>
      </c>
      <c r="T188" s="214" t="s">
        <v>1186</v>
      </c>
      <c r="U188" s="214">
        <v>2018</v>
      </c>
      <c r="V188" s="111"/>
      <c r="W188" s="111"/>
      <c r="X188" s="110"/>
    </row>
    <row r="189" spans="1:25" ht="39" customHeight="1" x14ac:dyDescent="0.25">
      <c r="A189" s="30" t="s">
        <v>898</v>
      </c>
      <c r="B189" s="279" t="s">
        <v>575</v>
      </c>
      <c r="C189" s="30" t="s">
        <v>1216</v>
      </c>
      <c r="D189" s="11" t="s">
        <v>1443</v>
      </c>
      <c r="E189" s="11" t="s">
        <v>396</v>
      </c>
      <c r="F189" s="47" t="s">
        <v>1455</v>
      </c>
      <c r="G189" s="90" t="s">
        <v>816</v>
      </c>
      <c r="H189" s="11"/>
      <c r="I189" s="11"/>
      <c r="J189" s="47"/>
      <c r="K189" s="226">
        <f t="shared" si="43"/>
        <v>1452</v>
      </c>
      <c r="L189" s="224">
        <v>1452</v>
      </c>
      <c r="M189" s="224">
        <v>0</v>
      </c>
      <c r="N189" s="224">
        <v>0</v>
      </c>
      <c r="O189" s="224">
        <v>0</v>
      </c>
      <c r="P189" s="224">
        <v>0</v>
      </c>
      <c r="Q189" s="138">
        <v>0</v>
      </c>
      <c r="R189" s="187" t="s">
        <v>1321</v>
      </c>
      <c r="S189" s="188" t="s">
        <v>1321</v>
      </c>
      <c r="T189" s="188" t="s">
        <v>1322</v>
      </c>
      <c r="U189" s="218">
        <v>2017</v>
      </c>
      <c r="V189" s="111"/>
      <c r="W189" s="111"/>
      <c r="X189" s="110"/>
    </row>
    <row r="190" spans="1:25" ht="39" customHeight="1" x14ac:dyDescent="0.25">
      <c r="A190" s="30" t="s">
        <v>1477</v>
      </c>
      <c r="B190" s="279" t="s">
        <v>576</v>
      </c>
      <c r="C190" s="30" t="s">
        <v>1217</v>
      </c>
      <c r="D190" s="11" t="s">
        <v>1443</v>
      </c>
      <c r="E190" s="11" t="s">
        <v>396</v>
      </c>
      <c r="F190" s="47" t="s">
        <v>1455</v>
      </c>
      <c r="G190" s="90" t="s">
        <v>816</v>
      </c>
      <c r="H190" s="11"/>
      <c r="I190" s="11"/>
      <c r="J190" s="47"/>
      <c r="K190" s="226">
        <f t="shared" si="43"/>
        <v>1452</v>
      </c>
      <c r="L190" s="224">
        <v>1452</v>
      </c>
      <c r="M190" s="224">
        <v>0</v>
      </c>
      <c r="N190" s="224">
        <v>0</v>
      </c>
      <c r="O190" s="224">
        <v>0</v>
      </c>
      <c r="P190" s="224">
        <v>0</v>
      </c>
      <c r="Q190" s="138">
        <v>0</v>
      </c>
      <c r="R190" s="213" t="s">
        <v>804</v>
      </c>
      <c r="S190" s="214" t="s">
        <v>804</v>
      </c>
      <c r="T190" s="214" t="s">
        <v>1186</v>
      </c>
      <c r="U190" s="218">
        <v>2016</v>
      </c>
      <c r="V190" s="111"/>
      <c r="W190" s="111"/>
      <c r="X190" s="110"/>
    </row>
    <row r="191" spans="1:25" ht="39" customHeight="1" x14ac:dyDescent="0.25">
      <c r="A191" s="30" t="s">
        <v>1478</v>
      </c>
      <c r="B191" s="279" t="s">
        <v>577</v>
      </c>
      <c r="C191" s="30" t="s">
        <v>1218</v>
      </c>
      <c r="D191" s="11" t="s">
        <v>1443</v>
      </c>
      <c r="E191" s="11" t="s">
        <v>396</v>
      </c>
      <c r="F191" s="47" t="s">
        <v>1455</v>
      </c>
      <c r="G191" s="90" t="s">
        <v>816</v>
      </c>
      <c r="H191" s="11"/>
      <c r="I191" s="11"/>
      <c r="J191" s="47"/>
      <c r="K191" s="226">
        <f t="shared" si="43"/>
        <v>1452</v>
      </c>
      <c r="L191" s="224">
        <v>1452</v>
      </c>
      <c r="M191" s="224">
        <v>0</v>
      </c>
      <c r="N191" s="224">
        <v>0</v>
      </c>
      <c r="O191" s="224">
        <v>0</v>
      </c>
      <c r="P191" s="224">
        <v>0</v>
      </c>
      <c r="Q191" s="138">
        <v>0</v>
      </c>
      <c r="R191" s="213" t="s">
        <v>804</v>
      </c>
      <c r="S191" s="214" t="s">
        <v>804</v>
      </c>
      <c r="T191" s="214" t="s">
        <v>1186</v>
      </c>
      <c r="U191" s="218">
        <v>2016</v>
      </c>
      <c r="V191" s="111"/>
      <c r="W191" s="111"/>
      <c r="X191" s="110"/>
    </row>
    <row r="192" spans="1:25" ht="39" customHeight="1" x14ac:dyDescent="0.25">
      <c r="A192" s="30" t="s">
        <v>155</v>
      </c>
      <c r="B192" s="279" t="s">
        <v>578</v>
      </c>
      <c r="C192" s="30" t="s">
        <v>156</v>
      </c>
      <c r="D192" s="11" t="s">
        <v>1584</v>
      </c>
      <c r="E192" s="11" t="s">
        <v>396</v>
      </c>
      <c r="F192" s="47" t="s">
        <v>1436</v>
      </c>
      <c r="G192" s="14" t="s">
        <v>1241</v>
      </c>
      <c r="H192" s="11" t="s">
        <v>1586</v>
      </c>
      <c r="I192" s="11"/>
      <c r="J192" s="47"/>
      <c r="K192" s="226">
        <f>L192+M192+N192+O192+P192</f>
        <v>364671.31</v>
      </c>
      <c r="L192" s="224">
        <v>27350.35</v>
      </c>
      <c r="M192" s="224">
        <v>27350.35</v>
      </c>
      <c r="N192" s="224">
        <v>0</v>
      </c>
      <c r="O192" s="224">
        <v>0</v>
      </c>
      <c r="P192" s="224">
        <v>309970.61</v>
      </c>
      <c r="Q192" s="138">
        <v>0</v>
      </c>
      <c r="R192" s="213" t="s">
        <v>1322</v>
      </c>
      <c r="S192" s="214" t="s">
        <v>1316</v>
      </c>
      <c r="T192" s="214" t="s">
        <v>1325</v>
      </c>
      <c r="U192" s="218">
        <v>2020</v>
      </c>
      <c r="V192" s="111"/>
      <c r="W192" s="111"/>
      <c r="X192" s="110"/>
      <c r="Y192" s="110"/>
    </row>
    <row r="193" spans="1:26" ht="39" customHeight="1" x14ac:dyDescent="0.25">
      <c r="A193" s="30" t="s">
        <v>159</v>
      </c>
      <c r="B193" s="279" t="s">
        <v>579</v>
      </c>
      <c r="C193" s="30" t="s">
        <v>169</v>
      </c>
      <c r="D193" s="11" t="s">
        <v>1590</v>
      </c>
      <c r="E193" s="11" t="s">
        <v>396</v>
      </c>
      <c r="F193" s="47" t="s">
        <v>1446</v>
      </c>
      <c r="G193" s="14" t="s">
        <v>1241</v>
      </c>
      <c r="H193" s="11" t="s">
        <v>1586</v>
      </c>
      <c r="I193" s="11"/>
      <c r="J193" s="47"/>
      <c r="K193" s="226">
        <f t="shared" si="43"/>
        <v>601136</v>
      </c>
      <c r="L193" s="224">
        <v>45085.2</v>
      </c>
      <c r="M193" s="224">
        <v>45085.2</v>
      </c>
      <c r="N193" s="224">
        <v>0</v>
      </c>
      <c r="O193" s="224">
        <v>0</v>
      </c>
      <c r="P193" s="224">
        <v>510965.6</v>
      </c>
      <c r="Q193" s="138">
        <v>0</v>
      </c>
      <c r="R193" s="213" t="s">
        <v>1406</v>
      </c>
      <c r="S193" s="214" t="s">
        <v>1316</v>
      </c>
      <c r="T193" s="214" t="s">
        <v>1325</v>
      </c>
      <c r="U193" s="218">
        <v>2021</v>
      </c>
      <c r="V193" s="111"/>
      <c r="W193" s="111"/>
      <c r="X193" s="110"/>
    </row>
    <row r="194" spans="1:26" ht="39" customHeight="1" x14ac:dyDescent="0.25">
      <c r="A194" s="30" t="s">
        <v>160</v>
      </c>
      <c r="B194" s="279" t="s">
        <v>580</v>
      </c>
      <c r="C194" s="30" t="s">
        <v>161</v>
      </c>
      <c r="D194" s="11" t="s">
        <v>1145</v>
      </c>
      <c r="E194" s="11" t="s">
        <v>396</v>
      </c>
      <c r="F194" s="47" t="s">
        <v>1147</v>
      </c>
      <c r="G194" s="14" t="s">
        <v>1241</v>
      </c>
      <c r="H194" s="11" t="s">
        <v>1586</v>
      </c>
      <c r="I194" s="11"/>
      <c r="J194" s="47"/>
      <c r="K194" s="226">
        <f t="shared" si="43"/>
        <v>176779.39</v>
      </c>
      <c r="L194" s="224">
        <v>13258.45</v>
      </c>
      <c r="M194" s="224">
        <v>13258.46</v>
      </c>
      <c r="N194" s="224">
        <v>0</v>
      </c>
      <c r="O194" s="224">
        <v>0</v>
      </c>
      <c r="P194" s="224">
        <v>150262.48000000001</v>
      </c>
      <c r="Q194" s="138">
        <v>0</v>
      </c>
      <c r="R194" s="213" t="s">
        <v>1321</v>
      </c>
      <c r="S194" s="214" t="s">
        <v>1344</v>
      </c>
      <c r="T194" s="214" t="s">
        <v>1323</v>
      </c>
      <c r="U194" s="218" t="s">
        <v>162</v>
      </c>
      <c r="V194" s="111"/>
      <c r="W194" s="111"/>
      <c r="X194" s="110"/>
    </row>
    <row r="195" spans="1:26" ht="39" customHeight="1" x14ac:dyDescent="0.25">
      <c r="A195" s="294" t="s">
        <v>374</v>
      </c>
      <c r="B195" s="279" t="s">
        <v>581</v>
      </c>
      <c r="C195" s="31" t="s">
        <v>375</v>
      </c>
      <c r="D195" s="287" t="s">
        <v>376</v>
      </c>
      <c r="E195" s="34" t="s">
        <v>396</v>
      </c>
      <c r="F195" s="34" t="s">
        <v>1446</v>
      </c>
      <c r="G195" s="287" t="s">
        <v>1240</v>
      </c>
      <c r="H195" s="34" t="s">
        <v>1586</v>
      </c>
      <c r="I195" s="281"/>
      <c r="J195" s="281"/>
      <c r="K195" s="226">
        <f t="shared" si="43"/>
        <v>784139.85</v>
      </c>
      <c r="L195" s="226">
        <v>58810.49</v>
      </c>
      <c r="M195" s="226">
        <v>58810.49</v>
      </c>
      <c r="N195" s="226">
        <v>0</v>
      </c>
      <c r="O195" s="226">
        <v>0</v>
      </c>
      <c r="P195" s="226">
        <v>666518.87</v>
      </c>
      <c r="Q195" s="138">
        <v>0</v>
      </c>
      <c r="R195" s="227" t="s">
        <v>1344</v>
      </c>
      <c r="S195" s="228" t="s">
        <v>1330</v>
      </c>
      <c r="T195" s="228" t="s">
        <v>1325</v>
      </c>
      <c r="U195" s="228">
        <v>2020</v>
      </c>
      <c r="V195" s="111"/>
      <c r="W195" s="111"/>
      <c r="X195" s="110"/>
    </row>
    <row r="196" spans="1:26" ht="39" customHeight="1" x14ac:dyDescent="0.25">
      <c r="A196" s="31" t="s">
        <v>377</v>
      </c>
      <c r="B196" s="279" t="s">
        <v>582</v>
      </c>
      <c r="C196" s="281" t="s">
        <v>1679</v>
      </c>
      <c r="D196" s="287" t="s">
        <v>1584</v>
      </c>
      <c r="E196" s="34" t="s">
        <v>396</v>
      </c>
      <c r="F196" s="32" t="s">
        <v>1436</v>
      </c>
      <c r="G196" s="287" t="s">
        <v>1240</v>
      </c>
      <c r="H196" s="34" t="s">
        <v>1586</v>
      </c>
      <c r="I196" s="281"/>
      <c r="J196" s="281"/>
      <c r="K196" s="226">
        <f t="shared" si="43"/>
        <v>318714.40000000002</v>
      </c>
      <c r="L196" s="226">
        <v>23903.58</v>
      </c>
      <c r="M196" s="226">
        <v>23903.58</v>
      </c>
      <c r="N196" s="226">
        <v>0</v>
      </c>
      <c r="O196" s="226">
        <v>0</v>
      </c>
      <c r="P196" s="226">
        <v>270907.24</v>
      </c>
      <c r="Q196" s="138">
        <v>0</v>
      </c>
      <c r="R196" s="227" t="s">
        <v>1344</v>
      </c>
      <c r="S196" s="312" t="s">
        <v>1330</v>
      </c>
      <c r="T196" s="228" t="s">
        <v>1324</v>
      </c>
      <c r="U196" s="228">
        <v>2020</v>
      </c>
      <c r="V196" s="111"/>
      <c r="W196" s="111"/>
      <c r="X196" s="110"/>
    </row>
    <row r="197" spans="1:26" ht="39" customHeight="1" x14ac:dyDescent="0.25">
      <c r="A197" s="415" t="s">
        <v>952</v>
      </c>
      <c r="B197" s="424"/>
      <c r="C197" s="415" t="s">
        <v>953</v>
      </c>
      <c r="D197" s="424"/>
      <c r="E197" s="424"/>
      <c r="F197" s="424"/>
      <c r="G197" s="392"/>
      <c r="H197" s="424"/>
      <c r="I197" s="424"/>
      <c r="J197" s="424"/>
      <c r="K197" s="416">
        <f t="shared" ref="K197:Q197" si="44">K198+K205+K206+K207</f>
        <v>2274489.46</v>
      </c>
      <c r="L197" s="416">
        <f t="shared" si="44"/>
        <v>333673.93</v>
      </c>
      <c r="M197" s="416">
        <f t="shared" si="44"/>
        <v>0</v>
      </c>
      <c r="N197" s="416">
        <f t="shared" si="44"/>
        <v>0</v>
      </c>
      <c r="O197" s="416">
        <f t="shared" si="44"/>
        <v>0</v>
      </c>
      <c r="P197" s="416">
        <f t="shared" si="44"/>
        <v>1940815.53</v>
      </c>
      <c r="Q197" s="416">
        <f t="shared" si="44"/>
        <v>0</v>
      </c>
      <c r="R197" s="425"/>
      <c r="S197" s="426"/>
      <c r="T197" s="426"/>
      <c r="U197" s="427"/>
      <c r="V197" s="110"/>
      <c r="W197" s="110"/>
      <c r="X197" s="110"/>
    </row>
    <row r="198" spans="1:26" ht="92.25" customHeight="1" x14ac:dyDescent="0.25">
      <c r="A198" s="428" t="s">
        <v>1710</v>
      </c>
      <c r="B198" s="436"/>
      <c r="C198" s="428" t="s">
        <v>1698</v>
      </c>
      <c r="D198" s="436"/>
      <c r="E198" s="436"/>
      <c r="F198" s="436"/>
      <c r="G198" s="436"/>
      <c r="H198" s="436"/>
      <c r="I198" s="436"/>
      <c r="J198" s="436"/>
      <c r="K198" s="433">
        <f t="shared" ref="K198:Q198" si="45">SUM(K199:K204)</f>
        <v>2274489.46</v>
      </c>
      <c r="L198" s="433">
        <f t="shared" si="45"/>
        <v>333673.93</v>
      </c>
      <c r="M198" s="433">
        <f t="shared" si="45"/>
        <v>0</v>
      </c>
      <c r="N198" s="433">
        <f t="shared" si="45"/>
        <v>0</v>
      </c>
      <c r="O198" s="433">
        <f t="shared" si="45"/>
        <v>0</v>
      </c>
      <c r="P198" s="433">
        <f t="shared" si="45"/>
        <v>1940815.53</v>
      </c>
      <c r="Q198" s="433">
        <f t="shared" si="45"/>
        <v>0</v>
      </c>
      <c r="R198" s="435"/>
      <c r="S198" s="435"/>
      <c r="T198" s="435"/>
      <c r="U198" s="435"/>
      <c r="V198" s="110"/>
      <c r="W198" s="110"/>
      <c r="X198" s="110"/>
    </row>
    <row r="199" spans="1:26" ht="39" customHeight="1" x14ac:dyDescent="0.25">
      <c r="A199" s="31" t="s">
        <v>822</v>
      </c>
      <c r="B199" s="279" t="s">
        <v>583</v>
      </c>
      <c r="C199" s="36" t="s">
        <v>361</v>
      </c>
      <c r="D199" s="12" t="s">
        <v>1443</v>
      </c>
      <c r="E199" s="16" t="s">
        <v>776</v>
      </c>
      <c r="F199" s="16" t="s">
        <v>1455</v>
      </c>
      <c r="G199" s="12" t="s">
        <v>1235</v>
      </c>
      <c r="H199" s="20" t="s">
        <v>1586</v>
      </c>
      <c r="I199" s="16"/>
      <c r="J199" s="16"/>
      <c r="K199" s="212">
        <f t="shared" ref="K199:K204" si="46">L199+P199</f>
        <v>50000</v>
      </c>
      <c r="L199" s="223">
        <v>0</v>
      </c>
      <c r="M199" s="223">
        <v>0</v>
      </c>
      <c r="N199" s="223">
        <v>0</v>
      </c>
      <c r="O199" s="223">
        <v>0</v>
      </c>
      <c r="P199" s="222">
        <v>50000</v>
      </c>
      <c r="Q199" s="223">
        <v>0</v>
      </c>
      <c r="R199" s="213" t="s">
        <v>1325</v>
      </c>
      <c r="S199" s="214" t="s">
        <v>1324</v>
      </c>
      <c r="T199" s="214" t="s">
        <v>1348</v>
      </c>
      <c r="U199" s="225">
        <v>2020</v>
      </c>
      <c r="V199" s="111"/>
      <c r="W199" s="111"/>
      <c r="X199" s="111"/>
      <c r="Y199" s="73"/>
      <c r="Z199" s="73"/>
    </row>
    <row r="200" spans="1:26" ht="39" customHeight="1" x14ac:dyDescent="0.25">
      <c r="A200" s="31" t="s">
        <v>152</v>
      </c>
      <c r="B200" s="279" t="s">
        <v>584</v>
      </c>
      <c r="C200" s="19" t="s">
        <v>1688</v>
      </c>
      <c r="D200" s="11" t="s">
        <v>850</v>
      </c>
      <c r="E200" s="11" t="s">
        <v>1585</v>
      </c>
      <c r="F200" s="10" t="s">
        <v>1400</v>
      </c>
      <c r="G200" s="10" t="s">
        <v>121</v>
      </c>
      <c r="H200" s="11" t="s">
        <v>1586</v>
      </c>
      <c r="I200" s="11"/>
      <c r="J200" s="11"/>
      <c r="K200" s="212">
        <f t="shared" si="46"/>
        <v>300000</v>
      </c>
      <c r="L200" s="212">
        <v>45000</v>
      </c>
      <c r="M200" s="223">
        <v>0</v>
      </c>
      <c r="N200" s="223">
        <v>0</v>
      </c>
      <c r="O200" s="223">
        <v>0</v>
      </c>
      <c r="P200" s="212">
        <v>255000</v>
      </c>
      <c r="Q200" s="223">
        <v>0</v>
      </c>
      <c r="R200" s="213" t="s">
        <v>1316</v>
      </c>
      <c r="S200" s="214" t="s">
        <v>1330</v>
      </c>
      <c r="T200" s="214" t="s">
        <v>66</v>
      </c>
      <c r="U200" s="214">
        <v>2018</v>
      </c>
      <c r="V200" s="110"/>
      <c r="W200" s="110"/>
      <c r="X200" s="110"/>
    </row>
    <row r="201" spans="1:26" ht="39" customHeight="1" x14ac:dyDescent="0.25">
      <c r="A201" s="31" t="s">
        <v>166</v>
      </c>
      <c r="B201" s="279" t="s">
        <v>585</v>
      </c>
      <c r="C201" s="19" t="s">
        <v>167</v>
      </c>
      <c r="D201" s="11" t="s">
        <v>1589</v>
      </c>
      <c r="E201" s="11" t="s">
        <v>1585</v>
      </c>
      <c r="F201" s="10" t="s">
        <v>1441</v>
      </c>
      <c r="G201" s="10" t="s">
        <v>121</v>
      </c>
      <c r="H201" s="11" t="s">
        <v>1586</v>
      </c>
      <c r="I201" s="11"/>
      <c r="J201" s="11"/>
      <c r="K201" s="212">
        <f t="shared" si="46"/>
        <v>557647.34</v>
      </c>
      <c r="L201" s="212">
        <v>83647.11</v>
      </c>
      <c r="M201" s="223">
        <v>0</v>
      </c>
      <c r="N201" s="223">
        <v>0</v>
      </c>
      <c r="O201" s="223">
        <v>0</v>
      </c>
      <c r="P201" s="212">
        <v>474000.23</v>
      </c>
      <c r="Q201" s="223">
        <v>0</v>
      </c>
      <c r="R201" s="213" t="s">
        <v>1330</v>
      </c>
      <c r="S201" s="214" t="s">
        <v>1324</v>
      </c>
      <c r="T201" s="214" t="s">
        <v>1346</v>
      </c>
      <c r="U201" s="214">
        <v>2020</v>
      </c>
      <c r="V201" s="110"/>
      <c r="W201" s="110"/>
      <c r="X201" s="110"/>
    </row>
    <row r="202" spans="1:26" ht="39" customHeight="1" x14ac:dyDescent="0.25">
      <c r="A202" s="31" t="s">
        <v>1692</v>
      </c>
      <c r="B202" s="279" t="s">
        <v>586</v>
      </c>
      <c r="C202" s="19" t="s">
        <v>1693</v>
      </c>
      <c r="D202" s="11" t="s">
        <v>1587</v>
      </c>
      <c r="E202" s="11" t="s">
        <v>1585</v>
      </c>
      <c r="F202" s="10" t="s">
        <v>1454</v>
      </c>
      <c r="G202" s="10" t="s">
        <v>121</v>
      </c>
      <c r="H202" s="11" t="s">
        <v>1586</v>
      </c>
      <c r="I202" s="11"/>
      <c r="J202" s="11"/>
      <c r="K202" s="212">
        <f t="shared" si="46"/>
        <v>314260</v>
      </c>
      <c r="L202" s="212">
        <v>47139</v>
      </c>
      <c r="M202" s="223">
        <v>0</v>
      </c>
      <c r="N202" s="223">
        <v>0</v>
      </c>
      <c r="O202" s="223">
        <v>0</v>
      </c>
      <c r="P202" s="212">
        <v>267121</v>
      </c>
      <c r="Q202" s="223">
        <v>0</v>
      </c>
      <c r="R202" s="213" t="s">
        <v>1330</v>
      </c>
      <c r="S202" s="214" t="s">
        <v>66</v>
      </c>
      <c r="T202" s="214" t="s">
        <v>1326</v>
      </c>
      <c r="U202" s="214">
        <v>2020</v>
      </c>
      <c r="V202" s="110"/>
      <c r="W202" s="110"/>
      <c r="X202" s="110"/>
    </row>
    <row r="203" spans="1:26" ht="39" customHeight="1" x14ac:dyDescent="0.25">
      <c r="A203" s="31" t="s">
        <v>1694</v>
      </c>
      <c r="B203" s="279" t="s">
        <v>587</v>
      </c>
      <c r="C203" s="19" t="s">
        <v>1695</v>
      </c>
      <c r="D203" s="11" t="s">
        <v>850</v>
      </c>
      <c r="E203" s="11" t="s">
        <v>1585</v>
      </c>
      <c r="F203" s="10" t="s">
        <v>1400</v>
      </c>
      <c r="G203" s="10" t="s">
        <v>121</v>
      </c>
      <c r="H203" s="11" t="s">
        <v>1586</v>
      </c>
      <c r="I203" s="11"/>
      <c r="J203" s="11"/>
      <c r="K203" s="212">
        <f t="shared" si="46"/>
        <v>752970</v>
      </c>
      <c r="L203" s="212">
        <v>112946</v>
      </c>
      <c r="M203" s="223">
        <v>0</v>
      </c>
      <c r="N203" s="223">
        <v>0</v>
      </c>
      <c r="O203" s="223">
        <v>0</v>
      </c>
      <c r="P203" s="212">
        <v>640024</v>
      </c>
      <c r="Q203" s="223">
        <v>0</v>
      </c>
      <c r="R203" s="213" t="s">
        <v>1347</v>
      </c>
      <c r="S203" s="214" t="s">
        <v>1349</v>
      </c>
      <c r="T203" s="214" t="s">
        <v>62</v>
      </c>
      <c r="U203" s="214">
        <v>2020</v>
      </c>
      <c r="V203" s="110"/>
      <c r="W203" s="110"/>
      <c r="X203" s="110"/>
    </row>
    <row r="204" spans="1:26" ht="39" customHeight="1" x14ac:dyDescent="0.25">
      <c r="A204" s="31" t="s">
        <v>1696</v>
      </c>
      <c r="B204" s="279" t="s">
        <v>588</v>
      </c>
      <c r="C204" s="19" t="s">
        <v>1697</v>
      </c>
      <c r="D204" s="11" t="s">
        <v>1580</v>
      </c>
      <c r="E204" s="11" t="s">
        <v>1585</v>
      </c>
      <c r="F204" s="10" t="s">
        <v>1456</v>
      </c>
      <c r="G204" s="10" t="s">
        <v>121</v>
      </c>
      <c r="H204" s="11" t="s">
        <v>1586</v>
      </c>
      <c r="I204" s="11"/>
      <c r="J204" s="11"/>
      <c r="K204" s="212">
        <f t="shared" si="46"/>
        <v>299612.12</v>
      </c>
      <c r="L204" s="212">
        <v>44941.82</v>
      </c>
      <c r="M204" s="223">
        <v>0</v>
      </c>
      <c r="N204" s="223">
        <v>0</v>
      </c>
      <c r="O204" s="223">
        <v>0</v>
      </c>
      <c r="P204" s="212">
        <v>254670.3</v>
      </c>
      <c r="Q204" s="223">
        <v>0</v>
      </c>
      <c r="R204" s="213" t="s">
        <v>1330</v>
      </c>
      <c r="S204" s="214" t="s">
        <v>66</v>
      </c>
      <c r="T204" s="214" t="s">
        <v>1326</v>
      </c>
      <c r="U204" s="214">
        <v>2021</v>
      </c>
      <c r="V204" s="110"/>
      <c r="W204" s="110"/>
      <c r="X204" s="110"/>
    </row>
    <row r="205" spans="1:26" ht="39" customHeight="1" x14ac:dyDescent="0.25">
      <c r="A205" s="428" t="s">
        <v>1711</v>
      </c>
      <c r="B205" s="436"/>
      <c r="C205" s="428" t="s">
        <v>1716</v>
      </c>
      <c r="D205" s="436"/>
      <c r="E205" s="436"/>
      <c r="F205" s="436"/>
      <c r="G205" s="436"/>
      <c r="H205" s="436"/>
      <c r="I205" s="436"/>
      <c r="J205" s="436"/>
      <c r="K205" s="441">
        <v>0</v>
      </c>
      <c r="L205" s="441">
        <v>0</v>
      </c>
      <c r="M205" s="441">
        <v>0</v>
      </c>
      <c r="N205" s="441">
        <v>0</v>
      </c>
      <c r="O205" s="441">
        <v>0</v>
      </c>
      <c r="P205" s="441">
        <v>0</v>
      </c>
      <c r="Q205" s="441">
        <v>0</v>
      </c>
      <c r="R205" s="435"/>
      <c r="S205" s="435"/>
      <c r="T205" s="435"/>
      <c r="U205" s="435"/>
      <c r="V205" s="110"/>
      <c r="W205" s="110"/>
      <c r="X205" s="110"/>
    </row>
    <row r="206" spans="1:26" ht="39" customHeight="1" x14ac:dyDescent="0.25">
      <c r="A206" s="428" t="s">
        <v>1712</v>
      </c>
      <c r="B206" s="436"/>
      <c r="C206" s="428" t="s">
        <v>1717</v>
      </c>
      <c r="D206" s="436"/>
      <c r="E206" s="436"/>
      <c r="F206" s="436"/>
      <c r="G206" s="436"/>
      <c r="H206" s="436"/>
      <c r="I206" s="436"/>
      <c r="J206" s="436"/>
      <c r="K206" s="441">
        <v>0</v>
      </c>
      <c r="L206" s="441">
        <v>0</v>
      </c>
      <c r="M206" s="441">
        <v>0</v>
      </c>
      <c r="N206" s="441">
        <v>0</v>
      </c>
      <c r="O206" s="441">
        <v>0</v>
      </c>
      <c r="P206" s="441">
        <v>0</v>
      </c>
      <c r="Q206" s="441">
        <v>0</v>
      </c>
      <c r="R206" s="435"/>
      <c r="S206" s="435"/>
      <c r="T206" s="435"/>
      <c r="U206" s="435"/>
      <c r="V206" s="110"/>
      <c r="W206" s="110"/>
      <c r="X206" s="110"/>
    </row>
    <row r="207" spans="1:26" ht="39" customHeight="1" x14ac:dyDescent="0.25">
      <c r="A207" s="428" t="s">
        <v>1713</v>
      </c>
      <c r="B207" s="436"/>
      <c r="C207" s="428" t="s">
        <v>1718</v>
      </c>
      <c r="D207" s="436"/>
      <c r="E207" s="436"/>
      <c r="F207" s="436"/>
      <c r="G207" s="436"/>
      <c r="H207" s="436"/>
      <c r="I207" s="436"/>
      <c r="J207" s="436"/>
      <c r="K207" s="441">
        <v>0</v>
      </c>
      <c r="L207" s="441">
        <v>0</v>
      </c>
      <c r="M207" s="441">
        <v>0</v>
      </c>
      <c r="N207" s="441">
        <v>0</v>
      </c>
      <c r="O207" s="441">
        <v>0</v>
      </c>
      <c r="P207" s="441">
        <v>0</v>
      </c>
      <c r="Q207" s="441">
        <v>0</v>
      </c>
      <c r="R207" s="435"/>
      <c r="S207" s="435"/>
      <c r="T207" s="435"/>
      <c r="U207" s="435"/>
      <c r="V207" s="110"/>
      <c r="W207" s="110"/>
      <c r="X207" s="110"/>
    </row>
    <row r="208" spans="1:26" ht="39" customHeight="1" x14ac:dyDescent="0.25">
      <c r="A208" s="391" t="s">
        <v>1638</v>
      </c>
      <c r="B208" s="392"/>
      <c r="C208" s="391" t="s">
        <v>1639</v>
      </c>
      <c r="D208" s="392"/>
      <c r="E208" s="392"/>
      <c r="F208" s="392"/>
      <c r="G208" s="392"/>
      <c r="H208" s="392"/>
      <c r="I208" s="392"/>
      <c r="J208" s="392"/>
      <c r="K208" s="416">
        <f t="shared" ref="K208:Q208" si="47">K209+K219</f>
        <v>3629474.1999999997</v>
      </c>
      <c r="L208" s="416">
        <f t="shared" si="47"/>
        <v>1799225.9999999998</v>
      </c>
      <c r="M208" s="416">
        <f t="shared" si="47"/>
        <v>0</v>
      </c>
      <c r="N208" s="416">
        <f t="shared" si="47"/>
        <v>0</v>
      </c>
      <c r="O208" s="416">
        <f t="shared" si="47"/>
        <v>0</v>
      </c>
      <c r="P208" s="416">
        <f t="shared" si="47"/>
        <v>1830248.2</v>
      </c>
      <c r="Q208" s="416">
        <f t="shared" si="47"/>
        <v>0</v>
      </c>
      <c r="R208" s="419"/>
      <c r="S208" s="419"/>
      <c r="T208" s="419"/>
      <c r="U208" s="419"/>
      <c r="V208" s="110"/>
      <c r="W208" s="110"/>
      <c r="X208" s="110"/>
    </row>
    <row r="209" spans="1:25" ht="60.75" customHeight="1" x14ac:dyDescent="0.25">
      <c r="A209" s="428" t="s">
        <v>1719</v>
      </c>
      <c r="B209" s="436"/>
      <c r="C209" s="428" t="s">
        <v>1747</v>
      </c>
      <c r="D209" s="436"/>
      <c r="E209" s="436"/>
      <c r="F209" s="436"/>
      <c r="G209" s="436"/>
      <c r="H209" s="436"/>
      <c r="I209" s="436"/>
      <c r="J209" s="436"/>
      <c r="K209" s="433">
        <f>K210+K211+K212+K213+K214+K215+K216+K217+K218</f>
        <v>3629474.1999999997</v>
      </c>
      <c r="L209" s="433">
        <f t="shared" ref="L209:Q209" si="48">L210+L211+L212+L213+L214+L215+L216+L217+L218</f>
        <v>1799225.9999999998</v>
      </c>
      <c r="M209" s="433">
        <f t="shared" si="48"/>
        <v>0</v>
      </c>
      <c r="N209" s="433">
        <f t="shared" si="48"/>
        <v>0</v>
      </c>
      <c r="O209" s="433">
        <f t="shared" si="48"/>
        <v>0</v>
      </c>
      <c r="P209" s="433">
        <f t="shared" si="48"/>
        <v>1830248.2</v>
      </c>
      <c r="Q209" s="433">
        <f t="shared" si="48"/>
        <v>0</v>
      </c>
      <c r="R209" s="435"/>
      <c r="S209" s="435"/>
      <c r="T209" s="435"/>
      <c r="U209" s="435"/>
      <c r="V209" s="110"/>
      <c r="W209" s="110"/>
      <c r="X209" s="110"/>
    </row>
    <row r="210" spans="1:25" ht="39" customHeight="1" x14ac:dyDescent="0.25">
      <c r="A210" s="31" t="s">
        <v>823</v>
      </c>
      <c r="B210" s="279" t="s">
        <v>589</v>
      </c>
      <c r="C210" s="31" t="s">
        <v>153</v>
      </c>
      <c r="D210" s="33" t="s">
        <v>1587</v>
      </c>
      <c r="E210" s="33" t="s">
        <v>396</v>
      </c>
      <c r="F210" s="47" t="s">
        <v>1454</v>
      </c>
      <c r="G210" s="33" t="s">
        <v>1410</v>
      </c>
      <c r="H210" s="33" t="s">
        <v>1586</v>
      </c>
      <c r="I210" s="33"/>
      <c r="J210" s="33"/>
      <c r="K210" s="199">
        <f>L210+M210+N210+O210+P210</f>
        <v>228880.24000000002</v>
      </c>
      <c r="L210" s="199">
        <v>34332.04</v>
      </c>
      <c r="M210" s="138">
        <v>0</v>
      </c>
      <c r="N210" s="138">
        <v>0</v>
      </c>
      <c r="O210" s="138">
        <v>0</v>
      </c>
      <c r="P210" s="199">
        <v>194548.2</v>
      </c>
      <c r="Q210" s="138">
        <v>0</v>
      </c>
      <c r="R210" s="195" t="s">
        <v>1318</v>
      </c>
      <c r="S210" s="217" t="s">
        <v>1344</v>
      </c>
      <c r="T210" s="217" t="s">
        <v>1330</v>
      </c>
      <c r="U210" s="217">
        <v>2020</v>
      </c>
      <c r="V210" s="110"/>
      <c r="W210" s="110"/>
      <c r="X210" s="110"/>
    </row>
    <row r="211" spans="1:25" ht="39" customHeight="1" x14ac:dyDescent="0.25">
      <c r="A211" s="31" t="s">
        <v>899</v>
      </c>
      <c r="B211" s="279" t="s">
        <v>590</v>
      </c>
      <c r="C211" s="19" t="s">
        <v>135</v>
      </c>
      <c r="D211" s="12" t="s">
        <v>1443</v>
      </c>
      <c r="E211" s="12" t="s">
        <v>396</v>
      </c>
      <c r="F211" s="12" t="s">
        <v>1455</v>
      </c>
      <c r="G211" s="33" t="s">
        <v>1410</v>
      </c>
      <c r="H211" s="20" t="s">
        <v>1586</v>
      </c>
      <c r="I211" s="16"/>
      <c r="J211" s="16"/>
      <c r="K211" s="199">
        <f>L211+M211+N211+O211+P211</f>
        <v>293582.34999999998</v>
      </c>
      <c r="L211" s="223">
        <v>44037.35</v>
      </c>
      <c r="M211" s="223">
        <v>0</v>
      </c>
      <c r="N211" s="222">
        <v>0</v>
      </c>
      <c r="O211" s="222">
        <v>0</v>
      </c>
      <c r="P211" s="226">
        <v>249545</v>
      </c>
      <c r="Q211" s="138">
        <v>0</v>
      </c>
      <c r="R211" s="227" t="s">
        <v>1321</v>
      </c>
      <c r="S211" s="225" t="s">
        <v>1345</v>
      </c>
      <c r="T211" s="225" t="s">
        <v>1344</v>
      </c>
      <c r="U211" s="228">
        <v>2020</v>
      </c>
      <c r="V211" s="110"/>
      <c r="W211" s="110"/>
      <c r="X211" s="110"/>
    </row>
    <row r="212" spans="1:25" ht="39" customHeight="1" x14ac:dyDescent="0.25">
      <c r="A212" s="31" t="s">
        <v>900</v>
      </c>
      <c r="B212" s="279" t="s">
        <v>591</v>
      </c>
      <c r="C212" s="23" t="s">
        <v>859</v>
      </c>
      <c r="D212" s="11" t="s">
        <v>1687</v>
      </c>
      <c r="E212" s="11" t="s">
        <v>396</v>
      </c>
      <c r="F212" s="11" t="s">
        <v>1400</v>
      </c>
      <c r="G212" s="14" t="s">
        <v>1410</v>
      </c>
      <c r="H212" s="11" t="s">
        <v>1586</v>
      </c>
      <c r="I212" s="11" t="s">
        <v>1582</v>
      </c>
      <c r="J212" s="11"/>
      <c r="K212" s="199">
        <f>L212+M212+N212+O212+P212</f>
        <v>2161017</v>
      </c>
      <c r="L212" s="204">
        <v>1578957</v>
      </c>
      <c r="M212" s="204">
        <v>0</v>
      </c>
      <c r="N212" s="229">
        <v>0</v>
      </c>
      <c r="O212" s="204">
        <v>0</v>
      </c>
      <c r="P212" s="204">
        <v>582060</v>
      </c>
      <c r="Q212" s="138">
        <v>0</v>
      </c>
      <c r="R212" s="188" t="s">
        <v>1322</v>
      </c>
      <c r="S212" s="188" t="s">
        <v>1330</v>
      </c>
      <c r="T212" s="188" t="s">
        <v>38</v>
      </c>
      <c r="U212" s="188">
        <v>2020</v>
      </c>
      <c r="V212" s="111"/>
      <c r="W212" s="111"/>
      <c r="X212" s="111"/>
      <c r="Y212" s="73"/>
    </row>
    <row r="213" spans="1:25" ht="39" customHeight="1" x14ac:dyDescent="0.25">
      <c r="A213" s="31" t="s">
        <v>901</v>
      </c>
      <c r="B213" s="279" t="s">
        <v>592</v>
      </c>
      <c r="C213" s="23" t="s">
        <v>1198</v>
      </c>
      <c r="D213" s="11" t="s">
        <v>173</v>
      </c>
      <c r="E213" s="11" t="s">
        <v>396</v>
      </c>
      <c r="F213" s="11" t="s">
        <v>1400</v>
      </c>
      <c r="G213" s="14" t="s">
        <v>1410</v>
      </c>
      <c r="H213" s="11" t="s">
        <v>1586</v>
      </c>
      <c r="I213" s="11" t="s">
        <v>1582</v>
      </c>
      <c r="J213" s="11"/>
      <c r="K213" s="199">
        <f>L213+M213+N213+O213+P213</f>
        <v>41059</v>
      </c>
      <c r="L213" s="204">
        <v>6159</v>
      </c>
      <c r="M213" s="204">
        <v>0</v>
      </c>
      <c r="N213" s="204">
        <v>0</v>
      </c>
      <c r="O213" s="204">
        <v>0</v>
      </c>
      <c r="P213" s="204">
        <v>34900</v>
      </c>
      <c r="Q213" s="138">
        <v>0</v>
      </c>
      <c r="R213" s="188" t="s">
        <v>1322</v>
      </c>
      <c r="S213" s="188" t="s">
        <v>1345</v>
      </c>
      <c r="T213" s="188" t="s">
        <v>1344</v>
      </c>
      <c r="U213" s="188">
        <v>2018</v>
      </c>
      <c r="V213" s="111"/>
      <c r="W213" s="111"/>
      <c r="X213" s="111"/>
      <c r="Y213" s="73"/>
    </row>
    <row r="214" spans="1:25" ht="39" customHeight="1" x14ac:dyDescent="0.25">
      <c r="A214" s="31" t="s">
        <v>902</v>
      </c>
      <c r="B214" s="279" t="s">
        <v>593</v>
      </c>
      <c r="C214" s="23" t="s">
        <v>1199</v>
      </c>
      <c r="D214" s="11" t="s">
        <v>151</v>
      </c>
      <c r="E214" s="11" t="s">
        <v>396</v>
      </c>
      <c r="F214" s="11" t="s">
        <v>1400</v>
      </c>
      <c r="G214" s="14" t="s">
        <v>1410</v>
      </c>
      <c r="H214" s="11" t="s">
        <v>1586</v>
      </c>
      <c r="I214" s="11" t="s">
        <v>1582</v>
      </c>
      <c r="J214" s="11"/>
      <c r="K214" s="199">
        <f t="shared" ref="K214:K218" si="49">L214+M214+N214+O214+P214</f>
        <v>41059</v>
      </c>
      <c r="L214" s="204">
        <v>6159</v>
      </c>
      <c r="M214" s="204">
        <v>0</v>
      </c>
      <c r="N214" s="204">
        <v>0</v>
      </c>
      <c r="O214" s="204">
        <v>0</v>
      </c>
      <c r="P214" s="204">
        <v>34900</v>
      </c>
      <c r="Q214" s="138">
        <v>0</v>
      </c>
      <c r="R214" s="188" t="s">
        <v>1322</v>
      </c>
      <c r="S214" s="188" t="s">
        <v>1345</v>
      </c>
      <c r="T214" s="188" t="s">
        <v>1344</v>
      </c>
      <c r="U214" s="188">
        <v>2018</v>
      </c>
      <c r="V214" s="111"/>
      <c r="W214" s="111"/>
      <c r="X214" s="111"/>
      <c r="Y214" s="73"/>
    </row>
    <row r="215" spans="1:25" ht="39" customHeight="1" x14ac:dyDescent="0.25">
      <c r="A215" s="23" t="s">
        <v>136</v>
      </c>
      <c r="B215" s="279" t="s">
        <v>594</v>
      </c>
      <c r="C215" s="23" t="s">
        <v>137</v>
      </c>
      <c r="D215" s="10" t="s">
        <v>1580</v>
      </c>
      <c r="E215" s="10" t="s">
        <v>396</v>
      </c>
      <c r="F215" s="10" t="s">
        <v>1456</v>
      </c>
      <c r="G215" s="9" t="s">
        <v>1410</v>
      </c>
      <c r="H215" s="10" t="s">
        <v>1586</v>
      </c>
      <c r="I215" s="10"/>
      <c r="J215" s="10"/>
      <c r="K215" s="199">
        <f t="shared" si="49"/>
        <v>218212.1</v>
      </c>
      <c r="L215" s="201">
        <v>32731.82</v>
      </c>
      <c r="M215" s="201">
        <v>0</v>
      </c>
      <c r="N215" s="201">
        <v>0</v>
      </c>
      <c r="O215" s="201">
        <v>0</v>
      </c>
      <c r="P215" s="189">
        <v>185480.28</v>
      </c>
      <c r="Q215" s="138">
        <v>0</v>
      </c>
      <c r="R215" s="187" t="s">
        <v>1322</v>
      </c>
      <c r="S215" s="188" t="s">
        <v>1406</v>
      </c>
      <c r="T215" s="188" t="s">
        <v>1323</v>
      </c>
      <c r="U215" s="189">
        <v>2020</v>
      </c>
      <c r="V215" s="111"/>
      <c r="W215" s="111"/>
      <c r="X215" s="111"/>
      <c r="Y215" s="73"/>
    </row>
    <row r="216" spans="1:25" ht="39" customHeight="1" x14ac:dyDescent="0.25">
      <c r="A216" s="23" t="s">
        <v>142</v>
      </c>
      <c r="B216" s="279" t="s">
        <v>595</v>
      </c>
      <c r="C216" s="23" t="s">
        <v>143</v>
      </c>
      <c r="D216" s="10" t="s">
        <v>1590</v>
      </c>
      <c r="E216" s="10" t="s">
        <v>396</v>
      </c>
      <c r="F216" s="10" t="s">
        <v>1446</v>
      </c>
      <c r="G216" s="9" t="s">
        <v>1410</v>
      </c>
      <c r="H216" s="10" t="s">
        <v>1586</v>
      </c>
      <c r="I216" s="10"/>
      <c r="J216" s="10"/>
      <c r="K216" s="199">
        <f t="shared" si="49"/>
        <v>339683.49</v>
      </c>
      <c r="L216" s="201">
        <v>50952.52</v>
      </c>
      <c r="M216" s="201">
        <v>0</v>
      </c>
      <c r="N216" s="201">
        <v>0</v>
      </c>
      <c r="O216" s="201">
        <v>0</v>
      </c>
      <c r="P216" s="189">
        <v>288730.96999999997</v>
      </c>
      <c r="Q216" s="138">
        <v>0</v>
      </c>
      <c r="R216" s="187" t="s">
        <v>1322</v>
      </c>
      <c r="S216" s="188" t="s">
        <v>1406</v>
      </c>
      <c r="T216" s="188" t="s">
        <v>1323</v>
      </c>
      <c r="U216" s="189">
        <v>2020</v>
      </c>
      <c r="V216" s="111"/>
      <c r="W216" s="111"/>
      <c r="X216" s="111"/>
      <c r="Y216" s="73"/>
    </row>
    <row r="217" spans="1:25" ht="39" customHeight="1" x14ac:dyDescent="0.25">
      <c r="A217" s="23" t="s">
        <v>145</v>
      </c>
      <c r="B217" s="279" t="s">
        <v>596</v>
      </c>
      <c r="C217" s="23" t="s">
        <v>146</v>
      </c>
      <c r="D217" s="10" t="s">
        <v>1584</v>
      </c>
      <c r="E217" s="10" t="s">
        <v>396</v>
      </c>
      <c r="F217" s="10" t="s">
        <v>1436</v>
      </c>
      <c r="G217" s="9" t="s">
        <v>1410</v>
      </c>
      <c r="H217" s="10" t="s">
        <v>1586</v>
      </c>
      <c r="I217" s="10"/>
      <c r="J217" s="10"/>
      <c r="K217" s="199">
        <f t="shared" si="49"/>
        <v>206088.38</v>
      </c>
      <c r="L217" s="201">
        <v>30913.38</v>
      </c>
      <c r="M217" s="201">
        <v>0</v>
      </c>
      <c r="N217" s="201">
        <v>0</v>
      </c>
      <c r="O217" s="201">
        <v>0</v>
      </c>
      <c r="P217" s="189">
        <v>175175</v>
      </c>
      <c r="Q217" s="138">
        <v>0</v>
      </c>
      <c r="R217" s="187" t="s">
        <v>1322</v>
      </c>
      <c r="S217" s="188" t="s">
        <v>1323</v>
      </c>
      <c r="T217" s="188" t="s">
        <v>1325</v>
      </c>
      <c r="U217" s="189">
        <v>2020</v>
      </c>
      <c r="V217" s="111"/>
      <c r="W217" s="111"/>
      <c r="X217" s="111"/>
      <c r="Y217" s="73"/>
    </row>
    <row r="218" spans="1:25" ht="39" customHeight="1" x14ac:dyDescent="0.25">
      <c r="A218" s="23" t="s">
        <v>147</v>
      </c>
      <c r="B218" s="279" t="s">
        <v>597</v>
      </c>
      <c r="C218" s="23" t="s">
        <v>148</v>
      </c>
      <c r="D218" s="10" t="s">
        <v>1145</v>
      </c>
      <c r="E218" s="10" t="s">
        <v>396</v>
      </c>
      <c r="F218" s="10" t="s">
        <v>1147</v>
      </c>
      <c r="G218" s="9" t="s">
        <v>1410</v>
      </c>
      <c r="H218" s="10" t="s">
        <v>1586</v>
      </c>
      <c r="I218" s="10"/>
      <c r="J218" s="10"/>
      <c r="K218" s="199">
        <f t="shared" si="49"/>
        <v>99892.64</v>
      </c>
      <c r="L218" s="201">
        <v>14983.89</v>
      </c>
      <c r="M218" s="201">
        <v>0</v>
      </c>
      <c r="N218" s="201">
        <v>0</v>
      </c>
      <c r="O218" s="201">
        <v>0</v>
      </c>
      <c r="P218" s="189">
        <v>84908.75</v>
      </c>
      <c r="Q218" s="138">
        <v>0</v>
      </c>
      <c r="R218" s="187" t="s">
        <v>1318</v>
      </c>
      <c r="S218" s="188" t="s">
        <v>1406</v>
      </c>
      <c r="T218" s="188" t="s">
        <v>1316</v>
      </c>
      <c r="U218" s="189">
        <v>2019</v>
      </c>
      <c r="V218" s="111"/>
      <c r="W218" s="111"/>
      <c r="X218" s="111"/>
      <c r="Y218" s="73"/>
    </row>
    <row r="219" spans="1:25" ht="39" customHeight="1" x14ac:dyDescent="0.25">
      <c r="A219" s="428" t="s">
        <v>1720</v>
      </c>
      <c r="B219" s="436"/>
      <c r="C219" s="428" t="s">
        <v>1748</v>
      </c>
      <c r="D219" s="436"/>
      <c r="E219" s="436"/>
      <c r="F219" s="436"/>
      <c r="G219" s="436"/>
      <c r="H219" s="436"/>
      <c r="I219" s="436"/>
      <c r="J219" s="436"/>
      <c r="K219" s="441">
        <v>0</v>
      </c>
      <c r="L219" s="441">
        <v>0</v>
      </c>
      <c r="M219" s="441">
        <v>0</v>
      </c>
      <c r="N219" s="441">
        <v>0</v>
      </c>
      <c r="O219" s="441">
        <v>0</v>
      </c>
      <c r="P219" s="441">
        <v>0</v>
      </c>
      <c r="Q219" s="441">
        <v>0</v>
      </c>
      <c r="R219" s="435"/>
      <c r="S219" s="435"/>
      <c r="T219" s="435"/>
      <c r="U219" s="435"/>
      <c r="V219" s="110"/>
      <c r="W219" s="110"/>
      <c r="X219" s="110"/>
    </row>
    <row r="220" spans="1:25" ht="39" customHeight="1" x14ac:dyDescent="0.25">
      <c r="A220" s="404" t="s">
        <v>1603</v>
      </c>
      <c r="B220" s="410"/>
      <c r="C220" s="404" t="s">
        <v>1602</v>
      </c>
      <c r="D220" s="410"/>
      <c r="E220" s="410"/>
      <c r="F220" s="410"/>
      <c r="G220" s="410"/>
      <c r="H220" s="410"/>
      <c r="I220" s="410"/>
      <c r="J220" s="410"/>
      <c r="K220" s="407">
        <f t="shared" ref="K220:Q220" si="50">K221+K241</f>
        <v>16718453.050000001</v>
      </c>
      <c r="L220" s="407">
        <f t="shared" si="50"/>
        <v>2590984.09</v>
      </c>
      <c r="M220" s="407">
        <f t="shared" si="50"/>
        <v>207312.96</v>
      </c>
      <c r="N220" s="407">
        <f t="shared" si="50"/>
        <v>0</v>
      </c>
      <c r="O220" s="407">
        <f t="shared" si="50"/>
        <v>0</v>
      </c>
      <c r="P220" s="407">
        <f t="shared" si="50"/>
        <v>13920156</v>
      </c>
      <c r="Q220" s="407">
        <f t="shared" si="50"/>
        <v>0</v>
      </c>
      <c r="R220" s="409"/>
      <c r="S220" s="409"/>
      <c r="T220" s="409"/>
      <c r="U220" s="409"/>
      <c r="V220" s="110"/>
      <c r="W220" s="110"/>
      <c r="X220" s="110"/>
    </row>
    <row r="221" spans="1:25" ht="55.5" customHeight="1" x14ac:dyDescent="0.25">
      <c r="A221" s="391" t="s">
        <v>1640</v>
      </c>
      <c r="B221" s="392"/>
      <c r="C221" s="391" t="s">
        <v>1641</v>
      </c>
      <c r="D221" s="392"/>
      <c r="E221" s="392"/>
      <c r="F221" s="392"/>
      <c r="G221" s="392"/>
      <c r="H221" s="392"/>
      <c r="I221" s="392"/>
      <c r="J221" s="392"/>
      <c r="K221" s="416">
        <f t="shared" ref="K221:Q221" si="51">K222+K223+K224+K225+K226+K227+K229+K235+K236+K238</f>
        <v>4808613.58</v>
      </c>
      <c r="L221" s="416">
        <f t="shared" si="51"/>
        <v>804508.62</v>
      </c>
      <c r="M221" s="416">
        <f t="shared" si="51"/>
        <v>207312.96</v>
      </c>
      <c r="N221" s="416">
        <f t="shared" si="51"/>
        <v>0</v>
      </c>
      <c r="O221" s="416">
        <f t="shared" si="51"/>
        <v>0</v>
      </c>
      <c r="P221" s="416">
        <f t="shared" si="51"/>
        <v>3796791.9999999995</v>
      </c>
      <c r="Q221" s="416">
        <f t="shared" si="51"/>
        <v>0</v>
      </c>
      <c r="R221" s="419"/>
      <c r="S221" s="419"/>
      <c r="T221" s="419"/>
      <c r="U221" s="419"/>
      <c r="V221" s="110"/>
      <c r="W221" s="110"/>
      <c r="X221" s="110"/>
    </row>
    <row r="222" spans="1:25" ht="39" customHeight="1" x14ac:dyDescent="0.25">
      <c r="A222" s="428" t="s">
        <v>1721</v>
      </c>
      <c r="B222" s="436"/>
      <c r="C222" s="428" t="s">
        <v>1749</v>
      </c>
      <c r="D222" s="436"/>
      <c r="E222" s="436"/>
      <c r="F222" s="436"/>
      <c r="G222" s="436"/>
      <c r="H222" s="436"/>
      <c r="I222" s="436"/>
      <c r="J222" s="436"/>
      <c r="K222" s="441">
        <v>0</v>
      </c>
      <c r="L222" s="441">
        <v>0</v>
      </c>
      <c r="M222" s="441">
        <v>0</v>
      </c>
      <c r="N222" s="441">
        <v>0</v>
      </c>
      <c r="O222" s="441">
        <v>0</v>
      </c>
      <c r="P222" s="441">
        <v>0</v>
      </c>
      <c r="Q222" s="441">
        <v>0</v>
      </c>
      <c r="R222" s="435"/>
      <c r="S222" s="435"/>
      <c r="T222" s="435"/>
      <c r="U222" s="435"/>
      <c r="V222" s="110"/>
      <c r="W222" s="110"/>
      <c r="X222" s="110"/>
    </row>
    <row r="223" spans="1:25" ht="39" customHeight="1" x14ac:dyDescent="0.25">
      <c r="A223" s="428" t="s">
        <v>1722</v>
      </c>
      <c r="B223" s="436"/>
      <c r="C223" s="428" t="s">
        <v>1750</v>
      </c>
      <c r="D223" s="436"/>
      <c r="E223" s="436"/>
      <c r="F223" s="436"/>
      <c r="G223" s="436"/>
      <c r="H223" s="436"/>
      <c r="I223" s="436"/>
      <c r="J223" s="436"/>
      <c r="K223" s="433">
        <v>0</v>
      </c>
      <c r="L223" s="433">
        <v>0</v>
      </c>
      <c r="M223" s="433">
        <v>0</v>
      </c>
      <c r="N223" s="433">
        <v>0</v>
      </c>
      <c r="O223" s="433">
        <v>0</v>
      </c>
      <c r="P223" s="433">
        <v>0</v>
      </c>
      <c r="Q223" s="433">
        <v>0</v>
      </c>
      <c r="R223" s="435"/>
      <c r="S223" s="435"/>
      <c r="T223" s="435"/>
      <c r="U223" s="435"/>
      <c r="V223" s="110"/>
      <c r="W223" s="110"/>
      <c r="X223" s="110"/>
    </row>
    <row r="224" spans="1:25" ht="39" customHeight="1" x14ac:dyDescent="0.25">
      <c r="A224" s="428" t="s">
        <v>1723</v>
      </c>
      <c r="B224" s="436"/>
      <c r="C224" s="428" t="s">
        <v>1751</v>
      </c>
      <c r="D224" s="436"/>
      <c r="E224" s="436"/>
      <c r="F224" s="436"/>
      <c r="G224" s="436"/>
      <c r="H224" s="436"/>
      <c r="I224" s="436"/>
      <c r="J224" s="436"/>
      <c r="K224" s="441">
        <v>0</v>
      </c>
      <c r="L224" s="441">
        <v>0</v>
      </c>
      <c r="M224" s="441">
        <v>0</v>
      </c>
      <c r="N224" s="441">
        <v>0</v>
      </c>
      <c r="O224" s="441">
        <v>0</v>
      </c>
      <c r="P224" s="441">
        <v>0</v>
      </c>
      <c r="Q224" s="441">
        <v>0</v>
      </c>
      <c r="R224" s="435"/>
      <c r="S224" s="435"/>
      <c r="T224" s="435"/>
      <c r="U224" s="435"/>
      <c r="V224" s="110"/>
      <c r="W224" s="110"/>
      <c r="X224" s="110"/>
    </row>
    <row r="225" spans="1:24" ht="39" customHeight="1" x14ac:dyDescent="0.25">
      <c r="A225" s="428" t="s">
        <v>1724</v>
      </c>
      <c r="B225" s="436"/>
      <c r="C225" s="428" t="s">
        <v>1752</v>
      </c>
      <c r="D225" s="436"/>
      <c r="E225" s="436"/>
      <c r="F225" s="436"/>
      <c r="G225" s="436"/>
      <c r="H225" s="436"/>
      <c r="I225" s="436"/>
      <c r="J225" s="436"/>
      <c r="K225" s="441">
        <v>0</v>
      </c>
      <c r="L225" s="441">
        <v>0</v>
      </c>
      <c r="M225" s="441">
        <v>0</v>
      </c>
      <c r="N225" s="441">
        <v>0</v>
      </c>
      <c r="O225" s="441">
        <v>0</v>
      </c>
      <c r="P225" s="441">
        <v>0</v>
      </c>
      <c r="Q225" s="441">
        <v>0</v>
      </c>
      <c r="R225" s="435"/>
      <c r="S225" s="435"/>
      <c r="T225" s="435"/>
      <c r="U225" s="435"/>
      <c r="V225" s="110"/>
      <c r="W225" s="110"/>
      <c r="X225" s="110"/>
    </row>
    <row r="226" spans="1:24" ht="39" customHeight="1" x14ac:dyDescent="0.25">
      <c r="A226" s="428" t="s">
        <v>1725</v>
      </c>
      <c r="B226" s="436"/>
      <c r="C226" s="428" t="s">
        <v>805</v>
      </c>
      <c r="D226" s="436"/>
      <c r="E226" s="436"/>
      <c r="F226" s="436"/>
      <c r="G226" s="436"/>
      <c r="H226" s="436"/>
      <c r="I226" s="436"/>
      <c r="J226" s="436"/>
      <c r="K226" s="441">
        <v>0</v>
      </c>
      <c r="L226" s="441">
        <v>0</v>
      </c>
      <c r="M226" s="441">
        <v>0</v>
      </c>
      <c r="N226" s="441">
        <v>0</v>
      </c>
      <c r="O226" s="441">
        <v>0</v>
      </c>
      <c r="P226" s="441">
        <v>0</v>
      </c>
      <c r="Q226" s="441">
        <v>0</v>
      </c>
      <c r="R226" s="435"/>
      <c r="S226" s="435"/>
      <c r="T226" s="435"/>
      <c r="U226" s="435"/>
      <c r="V226" s="110"/>
      <c r="W226" s="110"/>
      <c r="X226" s="110"/>
    </row>
    <row r="227" spans="1:24" ht="39" customHeight="1" x14ac:dyDescent="0.25">
      <c r="A227" s="428" t="s">
        <v>1726</v>
      </c>
      <c r="B227" s="436"/>
      <c r="C227" s="428" t="s">
        <v>1753</v>
      </c>
      <c r="D227" s="436"/>
      <c r="E227" s="436"/>
      <c r="F227" s="436"/>
      <c r="G227" s="436"/>
      <c r="H227" s="436"/>
      <c r="I227" s="436"/>
      <c r="J227" s="436"/>
      <c r="K227" s="441">
        <f t="shared" ref="K227:Q227" si="52">K228</f>
        <v>874196.95</v>
      </c>
      <c r="L227" s="441">
        <f t="shared" si="52"/>
        <v>419550.64</v>
      </c>
      <c r="M227" s="441">
        <f t="shared" si="52"/>
        <v>0</v>
      </c>
      <c r="N227" s="441">
        <f t="shared" si="52"/>
        <v>0</v>
      </c>
      <c r="O227" s="441">
        <f t="shared" si="52"/>
        <v>0</v>
      </c>
      <c r="P227" s="441">
        <f t="shared" si="52"/>
        <v>454646.31</v>
      </c>
      <c r="Q227" s="441">
        <f t="shared" si="52"/>
        <v>0</v>
      </c>
      <c r="R227" s="435"/>
      <c r="S227" s="435"/>
      <c r="T227" s="435"/>
      <c r="U227" s="435"/>
      <c r="V227" s="110"/>
      <c r="W227" s="110"/>
      <c r="X227" s="110"/>
    </row>
    <row r="228" spans="1:24" ht="39" customHeight="1" x14ac:dyDescent="0.25">
      <c r="A228" s="23" t="s">
        <v>36</v>
      </c>
      <c r="B228" s="279" t="s">
        <v>598</v>
      </c>
      <c r="C228" s="23" t="s">
        <v>48</v>
      </c>
      <c r="D228" s="14" t="s">
        <v>37</v>
      </c>
      <c r="E228" s="14" t="s">
        <v>1609</v>
      </c>
      <c r="F228" s="14" t="s">
        <v>1456</v>
      </c>
      <c r="G228" s="47" t="s">
        <v>30</v>
      </c>
      <c r="H228" s="14" t="s">
        <v>1586</v>
      </c>
      <c r="I228" s="14"/>
      <c r="J228" s="14"/>
      <c r="K228" s="229">
        <f>L228+M228+N228+O228+P228</f>
        <v>874196.95</v>
      </c>
      <c r="L228" s="229">
        <v>419550.64</v>
      </c>
      <c r="M228" s="229">
        <v>0</v>
      </c>
      <c r="N228" s="229">
        <v>0</v>
      </c>
      <c r="O228" s="229">
        <v>0</v>
      </c>
      <c r="P228" s="229">
        <v>454646.31</v>
      </c>
      <c r="Q228" s="229">
        <v>0</v>
      </c>
      <c r="R228" s="192" t="s">
        <v>1320</v>
      </c>
      <c r="S228" s="192" t="s">
        <v>1345</v>
      </c>
      <c r="T228" s="192" t="s">
        <v>1406</v>
      </c>
      <c r="U228" s="187">
        <v>2021</v>
      </c>
      <c r="V228" s="110"/>
      <c r="W228" s="110"/>
      <c r="X228" s="110"/>
    </row>
    <row r="229" spans="1:24" ht="39" customHeight="1" x14ac:dyDescent="0.25">
      <c r="A229" s="428" t="s">
        <v>1727</v>
      </c>
      <c r="B229" s="436"/>
      <c r="C229" s="428" t="s">
        <v>1754</v>
      </c>
      <c r="D229" s="436"/>
      <c r="E229" s="436"/>
      <c r="F229" s="436"/>
      <c r="G229" s="436"/>
      <c r="H229" s="436"/>
      <c r="I229" s="436"/>
      <c r="J229" s="436"/>
      <c r="K229" s="433">
        <f t="shared" ref="K229:Q229" si="53">SUM(K230:K234)</f>
        <v>2987609.4600000004</v>
      </c>
      <c r="L229" s="433">
        <f t="shared" si="53"/>
        <v>332978.63</v>
      </c>
      <c r="M229" s="433">
        <f t="shared" si="53"/>
        <v>117271.23</v>
      </c>
      <c r="N229" s="433">
        <f t="shared" si="53"/>
        <v>0</v>
      </c>
      <c r="O229" s="433">
        <f t="shared" si="53"/>
        <v>0</v>
      </c>
      <c r="P229" s="433">
        <f t="shared" si="53"/>
        <v>2537359.5999999996</v>
      </c>
      <c r="Q229" s="433">
        <f t="shared" si="53"/>
        <v>0</v>
      </c>
      <c r="R229" s="435"/>
      <c r="S229" s="435"/>
      <c r="T229" s="435"/>
      <c r="U229" s="435"/>
      <c r="V229" s="110"/>
      <c r="W229" s="110"/>
      <c r="X229" s="110"/>
    </row>
    <row r="230" spans="1:24" ht="39" customHeight="1" x14ac:dyDescent="0.25">
      <c r="A230" s="31" t="s">
        <v>824</v>
      </c>
      <c r="B230" s="279" t="s">
        <v>599</v>
      </c>
      <c r="C230" s="31" t="s">
        <v>806</v>
      </c>
      <c r="D230" s="32" t="s">
        <v>1587</v>
      </c>
      <c r="E230" s="32" t="s">
        <v>1609</v>
      </c>
      <c r="F230" s="32" t="s">
        <v>1454</v>
      </c>
      <c r="G230" s="27" t="s">
        <v>30</v>
      </c>
      <c r="H230" s="32" t="s">
        <v>1586</v>
      </c>
      <c r="I230" s="32"/>
      <c r="J230" s="32"/>
      <c r="K230" s="199">
        <f>L230+M230+N230+O230+P230</f>
        <v>414856.83</v>
      </c>
      <c r="L230" s="199">
        <v>64336.95</v>
      </c>
      <c r="M230" s="138">
        <v>0</v>
      </c>
      <c r="N230" s="138">
        <v>0</v>
      </c>
      <c r="O230" s="138">
        <v>0</v>
      </c>
      <c r="P230" s="199">
        <v>350519.88</v>
      </c>
      <c r="Q230" s="229">
        <v>0</v>
      </c>
      <c r="R230" s="195" t="s">
        <v>1325</v>
      </c>
      <c r="S230" s="217" t="s">
        <v>1324</v>
      </c>
      <c r="T230" s="217" t="s">
        <v>1348</v>
      </c>
      <c r="U230" s="188">
        <v>2020</v>
      </c>
      <c r="V230" s="110"/>
      <c r="W230" s="110"/>
      <c r="X230" s="110"/>
    </row>
    <row r="231" spans="1:24" ht="39" customHeight="1" x14ac:dyDescent="0.25">
      <c r="A231" s="31" t="s">
        <v>903</v>
      </c>
      <c r="B231" s="279" t="s">
        <v>600</v>
      </c>
      <c r="C231" s="19" t="s">
        <v>24</v>
      </c>
      <c r="D231" s="108" t="s">
        <v>1390</v>
      </c>
      <c r="E231" s="108" t="s">
        <v>1609</v>
      </c>
      <c r="F231" s="108" t="s">
        <v>1455</v>
      </c>
      <c r="G231" s="27" t="s">
        <v>30</v>
      </c>
      <c r="H231" s="230" t="s">
        <v>1586</v>
      </c>
      <c r="I231" s="108"/>
      <c r="J231" s="108"/>
      <c r="K231" s="199">
        <f>L231+M231+N231+O231+P231</f>
        <v>420924.68</v>
      </c>
      <c r="L231" s="231">
        <v>0</v>
      </c>
      <c r="M231" s="304">
        <v>63138.71</v>
      </c>
      <c r="N231" s="231">
        <v>0</v>
      </c>
      <c r="O231" s="231">
        <v>0</v>
      </c>
      <c r="P231" s="304">
        <v>357785.97</v>
      </c>
      <c r="Q231" s="229">
        <v>0</v>
      </c>
      <c r="R231" s="232" t="s">
        <v>1317</v>
      </c>
      <c r="S231" s="214" t="s">
        <v>1319</v>
      </c>
      <c r="T231" s="214" t="s">
        <v>1321</v>
      </c>
      <c r="U231" s="214">
        <v>2019</v>
      </c>
      <c r="V231" s="110"/>
      <c r="W231" s="110"/>
      <c r="X231" s="110"/>
    </row>
    <row r="232" spans="1:24" ht="39" customHeight="1" x14ac:dyDescent="0.25">
      <c r="A232" s="31" t="s">
        <v>904</v>
      </c>
      <c r="B232" s="279" t="s">
        <v>601</v>
      </c>
      <c r="C232" s="23" t="s">
        <v>341</v>
      </c>
      <c r="D232" s="10" t="s">
        <v>850</v>
      </c>
      <c r="E232" s="10" t="s">
        <v>1609</v>
      </c>
      <c r="F232" s="10" t="s">
        <v>1400</v>
      </c>
      <c r="G232" s="32" t="s">
        <v>30</v>
      </c>
      <c r="H232" s="24" t="s">
        <v>1586</v>
      </c>
      <c r="I232" s="10" t="s">
        <v>1582</v>
      </c>
      <c r="J232" s="10"/>
      <c r="K232" s="199">
        <f>L232+M232+N232+O232+P232</f>
        <v>1289496.32</v>
      </c>
      <c r="L232" s="204">
        <v>193424.46</v>
      </c>
      <c r="M232" s="204">
        <v>0</v>
      </c>
      <c r="N232" s="204">
        <v>0</v>
      </c>
      <c r="O232" s="204">
        <v>0</v>
      </c>
      <c r="P232" s="204">
        <v>1096071.8600000001</v>
      </c>
      <c r="Q232" s="229">
        <v>0</v>
      </c>
      <c r="R232" s="188" t="s">
        <v>1320</v>
      </c>
      <c r="S232" s="188" t="s">
        <v>1319</v>
      </c>
      <c r="T232" s="188" t="s">
        <v>1322</v>
      </c>
      <c r="U232" s="188">
        <v>2019</v>
      </c>
      <c r="V232" s="110"/>
      <c r="W232" s="110"/>
      <c r="X232" s="110"/>
    </row>
    <row r="233" spans="1:24" ht="39" customHeight="1" x14ac:dyDescent="0.25">
      <c r="A233" s="31" t="s">
        <v>1468</v>
      </c>
      <c r="B233" s="279" t="s">
        <v>602</v>
      </c>
      <c r="C233" s="23" t="s">
        <v>1469</v>
      </c>
      <c r="D233" s="10" t="s">
        <v>1470</v>
      </c>
      <c r="E233" s="10" t="s">
        <v>1609</v>
      </c>
      <c r="F233" s="10" t="s">
        <v>1446</v>
      </c>
      <c r="G233" s="32" t="s">
        <v>30</v>
      </c>
      <c r="H233" s="24" t="s">
        <v>1586</v>
      </c>
      <c r="I233" s="10"/>
      <c r="J233" s="10"/>
      <c r="K233" s="199">
        <f>L233+M233+N233+O233+P233</f>
        <v>360883.49</v>
      </c>
      <c r="L233" s="204">
        <v>0</v>
      </c>
      <c r="M233" s="204">
        <v>54132.52</v>
      </c>
      <c r="N233" s="204">
        <v>0</v>
      </c>
      <c r="O233" s="204">
        <v>0</v>
      </c>
      <c r="P233" s="204">
        <v>306750.96999999997</v>
      </c>
      <c r="Q233" s="229">
        <v>0</v>
      </c>
      <c r="R233" s="188" t="s">
        <v>803</v>
      </c>
      <c r="S233" s="188" t="s">
        <v>1320</v>
      </c>
      <c r="T233" s="188" t="s">
        <v>1343</v>
      </c>
      <c r="U233" s="188">
        <v>2019</v>
      </c>
      <c r="V233" s="110"/>
      <c r="W233" s="110"/>
      <c r="X233" s="110"/>
    </row>
    <row r="234" spans="1:24" ht="39" customHeight="1" x14ac:dyDescent="0.25">
      <c r="A234" s="31" t="s">
        <v>58</v>
      </c>
      <c r="B234" s="279" t="s">
        <v>603</v>
      </c>
      <c r="C234" s="23" t="s">
        <v>59</v>
      </c>
      <c r="D234" s="10" t="s">
        <v>1589</v>
      </c>
      <c r="E234" s="10" t="s">
        <v>1609</v>
      </c>
      <c r="F234" s="10" t="s">
        <v>1441</v>
      </c>
      <c r="G234" s="32" t="s">
        <v>30</v>
      </c>
      <c r="H234" s="24" t="s">
        <v>1586</v>
      </c>
      <c r="I234" s="10"/>
      <c r="J234" s="10"/>
      <c r="K234" s="199">
        <f>L234+M234+N234+O234+P234</f>
        <v>501448.14</v>
      </c>
      <c r="L234" s="204">
        <v>75217.22</v>
      </c>
      <c r="M234" s="204">
        <v>0</v>
      </c>
      <c r="N234" s="204">
        <v>0</v>
      </c>
      <c r="O234" s="204">
        <v>0</v>
      </c>
      <c r="P234" s="204">
        <v>426230.92</v>
      </c>
      <c r="Q234" s="229">
        <v>0</v>
      </c>
      <c r="R234" s="188" t="s">
        <v>1320</v>
      </c>
      <c r="S234" s="188" t="s">
        <v>1319</v>
      </c>
      <c r="T234" s="188" t="s">
        <v>1322</v>
      </c>
      <c r="U234" s="188">
        <v>2019</v>
      </c>
      <c r="V234" s="110"/>
      <c r="W234" s="110"/>
      <c r="X234" s="110"/>
    </row>
    <row r="235" spans="1:24" ht="39" customHeight="1" x14ac:dyDescent="0.25">
      <c r="A235" s="428" t="s">
        <v>1728</v>
      </c>
      <c r="B235" s="436"/>
      <c r="C235" s="428" t="s">
        <v>1755</v>
      </c>
      <c r="D235" s="436"/>
      <c r="E235" s="436"/>
      <c r="F235" s="436"/>
      <c r="G235" s="436"/>
      <c r="H235" s="436"/>
      <c r="I235" s="436"/>
      <c r="J235" s="436"/>
      <c r="K235" s="441">
        <v>0</v>
      </c>
      <c r="L235" s="441">
        <v>0</v>
      </c>
      <c r="M235" s="441">
        <v>0</v>
      </c>
      <c r="N235" s="441">
        <v>0</v>
      </c>
      <c r="O235" s="441">
        <v>0</v>
      </c>
      <c r="P235" s="441">
        <v>0</v>
      </c>
      <c r="Q235" s="441">
        <v>0</v>
      </c>
      <c r="R235" s="435"/>
      <c r="S235" s="435"/>
      <c r="T235" s="435"/>
      <c r="U235" s="435"/>
      <c r="V235" s="110"/>
      <c r="W235" s="110"/>
      <c r="X235" s="110"/>
    </row>
    <row r="236" spans="1:24" ht="63" customHeight="1" x14ac:dyDescent="0.25">
      <c r="A236" s="428" t="s">
        <v>1729</v>
      </c>
      <c r="B236" s="436"/>
      <c r="C236" s="428" t="s">
        <v>1756</v>
      </c>
      <c r="D236" s="436"/>
      <c r="E236" s="436"/>
      <c r="F236" s="436"/>
      <c r="G236" s="436"/>
      <c r="H236" s="436"/>
      <c r="I236" s="436"/>
      <c r="J236" s="436"/>
      <c r="K236" s="441">
        <f t="shared" ref="K236:Q236" si="54">K237</f>
        <v>210278.17</v>
      </c>
      <c r="L236" s="441">
        <f t="shared" si="54"/>
        <v>0</v>
      </c>
      <c r="M236" s="441">
        <f t="shared" si="54"/>
        <v>31541.73</v>
      </c>
      <c r="N236" s="441">
        <f t="shared" si="54"/>
        <v>0</v>
      </c>
      <c r="O236" s="441">
        <f t="shared" si="54"/>
        <v>0</v>
      </c>
      <c r="P236" s="441">
        <f t="shared" si="54"/>
        <v>178736.44</v>
      </c>
      <c r="Q236" s="441">
        <f t="shared" si="54"/>
        <v>0</v>
      </c>
      <c r="R236" s="435"/>
      <c r="S236" s="435"/>
      <c r="T236" s="435"/>
      <c r="U236" s="435"/>
      <c r="V236" s="110"/>
      <c r="W236" s="110"/>
      <c r="X236" s="110"/>
    </row>
    <row r="237" spans="1:24" ht="39" customHeight="1" x14ac:dyDescent="0.25">
      <c r="A237" s="23" t="s">
        <v>56</v>
      </c>
      <c r="B237" s="279" t="s">
        <v>604</v>
      </c>
      <c r="C237" s="23" t="s">
        <v>57</v>
      </c>
      <c r="D237" s="14" t="s">
        <v>411</v>
      </c>
      <c r="E237" s="14" t="s">
        <v>1609</v>
      </c>
      <c r="F237" s="14" t="s">
        <v>1446</v>
      </c>
      <c r="G237" s="33" t="s">
        <v>30</v>
      </c>
      <c r="H237" s="14" t="s">
        <v>1586</v>
      </c>
      <c r="I237" s="14"/>
      <c r="J237" s="14"/>
      <c r="K237" s="229">
        <f>L237+M237+N237+O237+P237</f>
        <v>210278.17</v>
      </c>
      <c r="L237" s="229">
        <v>0</v>
      </c>
      <c r="M237" s="229">
        <v>31541.73</v>
      </c>
      <c r="N237" s="229">
        <v>0</v>
      </c>
      <c r="O237" s="229">
        <v>0</v>
      </c>
      <c r="P237" s="229">
        <v>178736.44</v>
      </c>
      <c r="Q237" s="229">
        <v>0</v>
      </c>
      <c r="R237" s="192" t="s">
        <v>803</v>
      </c>
      <c r="S237" s="192" t="s">
        <v>1328</v>
      </c>
      <c r="T237" s="192" t="s">
        <v>1319</v>
      </c>
      <c r="U237" s="187">
        <v>2019</v>
      </c>
      <c r="V237" s="110"/>
      <c r="W237" s="110"/>
      <c r="X237" s="110"/>
    </row>
    <row r="238" spans="1:24" ht="39" customHeight="1" x14ac:dyDescent="0.25">
      <c r="A238" s="428" t="s">
        <v>1730</v>
      </c>
      <c r="B238" s="436"/>
      <c r="C238" s="428" t="s">
        <v>1757</v>
      </c>
      <c r="D238" s="436"/>
      <c r="E238" s="436"/>
      <c r="F238" s="436"/>
      <c r="G238" s="436"/>
      <c r="H238" s="436"/>
      <c r="I238" s="436"/>
      <c r="J238" s="436"/>
      <c r="K238" s="433">
        <f t="shared" ref="K238:Q238" si="55">SUM(K239:K240)</f>
        <v>736529</v>
      </c>
      <c r="L238" s="433">
        <f t="shared" si="55"/>
        <v>51979.35</v>
      </c>
      <c r="M238" s="433">
        <f t="shared" si="55"/>
        <v>58500</v>
      </c>
      <c r="N238" s="433">
        <f t="shared" si="55"/>
        <v>0</v>
      </c>
      <c r="O238" s="433">
        <f t="shared" si="55"/>
        <v>0</v>
      </c>
      <c r="P238" s="433">
        <f t="shared" si="55"/>
        <v>626049.65</v>
      </c>
      <c r="Q238" s="433">
        <f t="shared" si="55"/>
        <v>0</v>
      </c>
      <c r="R238" s="435"/>
      <c r="S238" s="435"/>
      <c r="T238" s="435"/>
      <c r="U238" s="435"/>
      <c r="V238" s="110"/>
      <c r="W238" s="110"/>
      <c r="X238" s="110"/>
    </row>
    <row r="239" spans="1:24" ht="39" customHeight="1" x14ac:dyDescent="0.25">
      <c r="A239" s="23" t="s">
        <v>1219</v>
      </c>
      <c r="B239" s="279" t="s">
        <v>605</v>
      </c>
      <c r="C239" s="23" t="s">
        <v>1492</v>
      </c>
      <c r="D239" s="12" t="s">
        <v>1584</v>
      </c>
      <c r="E239" s="11" t="s">
        <v>1609</v>
      </c>
      <c r="F239" s="12" t="s">
        <v>1436</v>
      </c>
      <c r="G239" s="11" t="s">
        <v>30</v>
      </c>
      <c r="H239" s="22"/>
      <c r="I239" s="11"/>
      <c r="J239" s="11"/>
      <c r="K239" s="201">
        <f>L239+M239+N239+O239+P239</f>
        <v>346529</v>
      </c>
      <c r="L239" s="201">
        <v>51979.35</v>
      </c>
      <c r="M239" s="202">
        <v>0</v>
      </c>
      <c r="N239" s="138">
        <v>0</v>
      </c>
      <c r="O239" s="138">
        <v>0</v>
      </c>
      <c r="P239" s="201">
        <v>294549.65000000002</v>
      </c>
      <c r="Q239" s="138">
        <v>0</v>
      </c>
      <c r="R239" s="192" t="s">
        <v>1342</v>
      </c>
      <c r="S239" s="188" t="s">
        <v>1328</v>
      </c>
      <c r="T239" s="188" t="s">
        <v>1319</v>
      </c>
      <c r="U239" s="188">
        <v>2021</v>
      </c>
      <c r="V239" s="110"/>
      <c r="W239" s="110"/>
      <c r="X239" s="110"/>
    </row>
    <row r="240" spans="1:24" ht="39" customHeight="1" x14ac:dyDescent="0.25">
      <c r="A240" s="23" t="s">
        <v>413</v>
      </c>
      <c r="B240" s="472" t="s">
        <v>606</v>
      </c>
      <c r="C240" s="23" t="s">
        <v>412</v>
      </c>
      <c r="D240" s="12" t="s">
        <v>414</v>
      </c>
      <c r="E240" s="11" t="s">
        <v>1609</v>
      </c>
      <c r="F240" s="10" t="s">
        <v>1446</v>
      </c>
      <c r="G240" s="11" t="s">
        <v>30</v>
      </c>
      <c r="H240" s="22" t="s">
        <v>1586</v>
      </c>
      <c r="I240" s="11"/>
      <c r="J240" s="11" t="s">
        <v>797</v>
      </c>
      <c r="K240" s="201">
        <f>L240+M240+N240+O240+P240</f>
        <v>390000</v>
      </c>
      <c r="L240" s="201">
        <v>0</v>
      </c>
      <c r="M240" s="202">
        <v>58500</v>
      </c>
      <c r="N240" s="138">
        <v>0</v>
      </c>
      <c r="O240" s="138">
        <v>0</v>
      </c>
      <c r="P240" s="201">
        <v>331500</v>
      </c>
      <c r="Q240" s="138">
        <v>0</v>
      </c>
      <c r="R240" s="192" t="s">
        <v>62</v>
      </c>
      <c r="S240" s="188" t="s">
        <v>44</v>
      </c>
      <c r="T240" s="188" t="s">
        <v>95</v>
      </c>
      <c r="U240" s="188">
        <v>2021</v>
      </c>
      <c r="V240" s="110"/>
      <c r="W240" s="110"/>
      <c r="X240" s="110"/>
    </row>
    <row r="241" spans="1:24" ht="39" customHeight="1" x14ac:dyDescent="0.25">
      <c r="A241" s="391" t="s">
        <v>1605</v>
      </c>
      <c r="B241" s="392"/>
      <c r="C241" s="391" t="s">
        <v>1604</v>
      </c>
      <c r="D241" s="392"/>
      <c r="E241" s="392"/>
      <c r="F241" s="392"/>
      <c r="G241" s="392"/>
      <c r="H241" s="392"/>
      <c r="I241" s="392"/>
      <c r="J241" s="392"/>
      <c r="K241" s="416">
        <f t="shared" ref="K241:Q241" si="56">K242+K244+K245</f>
        <v>11909839.470000001</v>
      </c>
      <c r="L241" s="416">
        <f t="shared" si="56"/>
        <v>1786475.47</v>
      </c>
      <c r="M241" s="416">
        <f t="shared" si="56"/>
        <v>0</v>
      </c>
      <c r="N241" s="416">
        <f t="shared" si="56"/>
        <v>0</v>
      </c>
      <c r="O241" s="416">
        <f t="shared" si="56"/>
        <v>0</v>
      </c>
      <c r="P241" s="416">
        <f t="shared" si="56"/>
        <v>10123364</v>
      </c>
      <c r="Q241" s="416">
        <f t="shared" si="56"/>
        <v>0</v>
      </c>
      <c r="R241" s="419"/>
      <c r="S241" s="419"/>
      <c r="T241" s="419"/>
      <c r="U241" s="419"/>
      <c r="V241" s="110"/>
      <c r="W241" s="110"/>
      <c r="X241" s="110"/>
    </row>
    <row r="242" spans="1:24" ht="39" customHeight="1" x14ac:dyDescent="0.25">
      <c r="A242" s="428" t="s">
        <v>1731</v>
      </c>
      <c r="B242" s="436"/>
      <c r="C242" s="428" t="s">
        <v>1758</v>
      </c>
      <c r="D242" s="436"/>
      <c r="E242" s="436"/>
      <c r="F242" s="436"/>
      <c r="G242" s="436"/>
      <c r="H242" s="436"/>
      <c r="I242" s="436"/>
      <c r="J242" s="436"/>
      <c r="K242" s="433">
        <f t="shared" ref="K242:Q242" si="57">SUM(K243:K243)</f>
        <v>550568</v>
      </c>
      <c r="L242" s="433">
        <f t="shared" si="57"/>
        <v>82585</v>
      </c>
      <c r="M242" s="433">
        <f t="shared" si="57"/>
        <v>0</v>
      </c>
      <c r="N242" s="433">
        <f t="shared" si="57"/>
        <v>0</v>
      </c>
      <c r="O242" s="433">
        <f t="shared" si="57"/>
        <v>0</v>
      </c>
      <c r="P242" s="433">
        <f t="shared" si="57"/>
        <v>467983</v>
      </c>
      <c r="Q242" s="433">
        <f t="shared" si="57"/>
        <v>0</v>
      </c>
      <c r="R242" s="435"/>
      <c r="S242" s="435"/>
      <c r="T242" s="435"/>
      <c r="U242" s="435"/>
      <c r="V242" s="110"/>
      <c r="W242" s="110"/>
      <c r="X242" s="110"/>
    </row>
    <row r="243" spans="1:24" ht="39" customHeight="1" x14ac:dyDescent="0.25">
      <c r="A243" s="30" t="s">
        <v>397</v>
      </c>
      <c r="B243" s="279" t="s">
        <v>607</v>
      </c>
      <c r="C243" s="23" t="s">
        <v>1208</v>
      </c>
      <c r="D243" s="11" t="s">
        <v>1580</v>
      </c>
      <c r="E243" s="11" t="s">
        <v>1609</v>
      </c>
      <c r="F243" s="11" t="s">
        <v>1456</v>
      </c>
      <c r="G243" s="14" t="s">
        <v>1209</v>
      </c>
      <c r="H243" s="22" t="s">
        <v>1586</v>
      </c>
      <c r="I243" s="11"/>
      <c r="J243" s="11"/>
      <c r="K243" s="204">
        <f>L243+M243+N243+O243+P243</f>
        <v>550568</v>
      </c>
      <c r="L243" s="204">
        <v>82585</v>
      </c>
      <c r="M243" s="204">
        <v>0</v>
      </c>
      <c r="N243" s="204">
        <v>0</v>
      </c>
      <c r="O243" s="204">
        <v>0</v>
      </c>
      <c r="P243" s="204">
        <v>467983</v>
      </c>
      <c r="Q243" s="140"/>
      <c r="R243" s="188" t="s">
        <v>807</v>
      </c>
      <c r="S243" s="188" t="s">
        <v>1333</v>
      </c>
      <c r="T243" s="188" t="s">
        <v>1342</v>
      </c>
      <c r="U243" s="188">
        <v>2019</v>
      </c>
      <c r="V243" s="111"/>
      <c r="W243" s="111"/>
      <c r="X243" s="110"/>
    </row>
    <row r="244" spans="1:24" ht="39" customHeight="1" x14ac:dyDescent="0.25">
      <c r="A244" s="428" t="s">
        <v>1732</v>
      </c>
      <c r="B244" s="478"/>
      <c r="C244" s="428" t="s">
        <v>1759</v>
      </c>
      <c r="D244" s="436"/>
      <c r="E244" s="436"/>
      <c r="F244" s="436"/>
      <c r="G244" s="436"/>
      <c r="H244" s="436"/>
      <c r="I244" s="436"/>
      <c r="J244" s="436"/>
      <c r="K244" s="441">
        <v>0</v>
      </c>
      <c r="L244" s="441">
        <v>0</v>
      </c>
      <c r="M244" s="441">
        <v>0</v>
      </c>
      <c r="N244" s="441">
        <v>0</v>
      </c>
      <c r="O244" s="441">
        <v>0</v>
      </c>
      <c r="P244" s="441">
        <v>0</v>
      </c>
      <c r="Q244" s="441">
        <v>0</v>
      </c>
      <c r="R244" s="435"/>
      <c r="S244" s="435"/>
      <c r="T244" s="435"/>
      <c r="U244" s="435"/>
      <c r="V244" s="110"/>
      <c r="W244" s="110"/>
      <c r="X244" s="110"/>
    </row>
    <row r="245" spans="1:24" ht="39" customHeight="1" x14ac:dyDescent="0.25">
      <c r="A245" s="434" t="s">
        <v>1606</v>
      </c>
      <c r="B245" s="478"/>
      <c r="C245" s="434" t="s">
        <v>1607</v>
      </c>
      <c r="D245" s="436" t="s">
        <v>1550</v>
      </c>
      <c r="E245" s="436" t="s">
        <v>1550</v>
      </c>
      <c r="F245" s="436" t="s">
        <v>1550</v>
      </c>
      <c r="G245" s="436" t="s">
        <v>1550</v>
      </c>
      <c r="H245" s="436" t="s">
        <v>1550</v>
      </c>
      <c r="I245" s="436" t="s">
        <v>1550</v>
      </c>
      <c r="J245" s="436" t="s">
        <v>1550</v>
      </c>
      <c r="K245" s="433">
        <f t="shared" ref="K245:Q245" si="58">SUM(K246:K252)</f>
        <v>11359271.470000001</v>
      </c>
      <c r="L245" s="433">
        <f t="shared" si="58"/>
        <v>1703890.47</v>
      </c>
      <c r="M245" s="433">
        <f t="shared" si="58"/>
        <v>0</v>
      </c>
      <c r="N245" s="433">
        <f t="shared" si="58"/>
        <v>0</v>
      </c>
      <c r="O245" s="433">
        <f t="shared" si="58"/>
        <v>0</v>
      </c>
      <c r="P245" s="433">
        <f t="shared" si="58"/>
        <v>9655381</v>
      </c>
      <c r="Q245" s="433">
        <f t="shared" si="58"/>
        <v>0</v>
      </c>
      <c r="R245" s="433"/>
      <c r="S245" s="435"/>
      <c r="T245" s="435"/>
      <c r="U245" s="435"/>
      <c r="V245" s="110"/>
      <c r="W245" s="110"/>
      <c r="X245" s="110"/>
    </row>
    <row r="246" spans="1:24" ht="39" customHeight="1" x14ac:dyDescent="0.25">
      <c r="A246" s="39" t="s">
        <v>1608</v>
      </c>
      <c r="B246" s="279" t="s">
        <v>608</v>
      </c>
      <c r="C246" s="68" t="s">
        <v>1314</v>
      </c>
      <c r="D246" s="90" t="s">
        <v>1584</v>
      </c>
      <c r="E246" s="90" t="s">
        <v>1609</v>
      </c>
      <c r="F246" s="90" t="s">
        <v>1436</v>
      </c>
      <c r="G246" s="47" t="s">
        <v>1209</v>
      </c>
      <c r="H246" s="90" t="s">
        <v>1586</v>
      </c>
      <c r="I246" s="90"/>
      <c r="J246" s="90"/>
      <c r="K246" s="199">
        <f>L246+M246+N246+O246+P246</f>
        <v>366443.53</v>
      </c>
      <c r="L246" s="199">
        <v>54966.53</v>
      </c>
      <c r="M246" s="200">
        <v>0</v>
      </c>
      <c r="N246" s="200">
        <v>0</v>
      </c>
      <c r="O246" s="200">
        <v>0</v>
      </c>
      <c r="P246" s="199">
        <v>311477</v>
      </c>
      <c r="Q246" s="200">
        <v>0</v>
      </c>
      <c r="R246" s="188" t="s">
        <v>1210</v>
      </c>
      <c r="S246" s="192" t="s">
        <v>1333</v>
      </c>
      <c r="T246" s="192" t="s">
        <v>1329</v>
      </c>
      <c r="U246" s="187">
        <v>2018</v>
      </c>
      <c r="V246" s="111"/>
      <c r="W246" s="111"/>
      <c r="X246" s="110"/>
    </row>
    <row r="247" spans="1:24" ht="39" customHeight="1" x14ac:dyDescent="0.25">
      <c r="A247" s="39" t="s">
        <v>905</v>
      </c>
      <c r="B247" s="279" t="s">
        <v>609</v>
      </c>
      <c r="C247" s="31" t="s">
        <v>6</v>
      </c>
      <c r="D247" s="33" t="s">
        <v>1587</v>
      </c>
      <c r="E247" s="33" t="s">
        <v>1609</v>
      </c>
      <c r="F247" s="33" t="s">
        <v>1454</v>
      </c>
      <c r="G247" s="47" t="s">
        <v>1209</v>
      </c>
      <c r="H247" s="33" t="s">
        <v>1586</v>
      </c>
      <c r="I247" s="33"/>
      <c r="J247" s="33"/>
      <c r="K247" s="199">
        <f t="shared" ref="K247:K252" si="59">L247+M247+N247+O247+P247</f>
        <v>1639070.59</v>
      </c>
      <c r="L247" s="199">
        <v>245860.59</v>
      </c>
      <c r="M247" s="138">
        <v>0</v>
      </c>
      <c r="N247" s="138">
        <v>0</v>
      </c>
      <c r="O247" s="138">
        <v>0</v>
      </c>
      <c r="P247" s="199">
        <v>1393210</v>
      </c>
      <c r="Q247" s="200">
        <v>0</v>
      </c>
      <c r="R247" s="188" t="s">
        <v>1210</v>
      </c>
      <c r="S247" s="188" t="s">
        <v>1333</v>
      </c>
      <c r="T247" s="188" t="s">
        <v>1342</v>
      </c>
      <c r="U247" s="188">
        <v>2022</v>
      </c>
      <c r="V247" s="110"/>
      <c r="W247" s="110"/>
      <c r="X247" s="110"/>
    </row>
    <row r="248" spans="1:24" ht="39" customHeight="1" x14ac:dyDescent="0.25">
      <c r="A248" s="39" t="s">
        <v>1153</v>
      </c>
      <c r="B248" s="279" t="s">
        <v>610</v>
      </c>
      <c r="C248" s="23" t="s">
        <v>1154</v>
      </c>
      <c r="D248" s="11" t="s">
        <v>1145</v>
      </c>
      <c r="E248" s="11" t="s">
        <v>1609</v>
      </c>
      <c r="F248" s="11" t="s">
        <v>1147</v>
      </c>
      <c r="G248" s="47" t="s">
        <v>1209</v>
      </c>
      <c r="H248" s="22" t="s">
        <v>1586</v>
      </c>
      <c r="I248" s="11"/>
      <c r="J248" s="11"/>
      <c r="K248" s="199">
        <f t="shared" si="59"/>
        <v>117334.12</v>
      </c>
      <c r="L248" s="189">
        <v>17600.12</v>
      </c>
      <c r="M248" s="201">
        <v>0</v>
      </c>
      <c r="N248" s="201">
        <v>0</v>
      </c>
      <c r="O248" s="201">
        <v>0</v>
      </c>
      <c r="P248" s="189">
        <v>99734</v>
      </c>
      <c r="Q248" s="200">
        <v>0</v>
      </c>
      <c r="R248" s="188" t="s">
        <v>807</v>
      </c>
      <c r="S248" s="188" t="s">
        <v>1333</v>
      </c>
      <c r="T248" s="188" t="s">
        <v>1329</v>
      </c>
      <c r="U248" s="188">
        <v>2017</v>
      </c>
      <c r="V248" s="111"/>
      <c r="W248" s="111"/>
      <c r="X248" s="110"/>
    </row>
    <row r="249" spans="1:24" ht="39" customHeight="1" x14ac:dyDescent="0.25">
      <c r="A249" s="39" t="s">
        <v>1220</v>
      </c>
      <c r="B249" s="279" t="s">
        <v>611</v>
      </c>
      <c r="C249" s="23" t="s">
        <v>825</v>
      </c>
      <c r="D249" s="11" t="s">
        <v>1443</v>
      </c>
      <c r="E249" s="11" t="s">
        <v>1609</v>
      </c>
      <c r="F249" s="11" t="s">
        <v>1455</v>
      </c>
      <c r="G249" s="47" t="s">
        <v>1209</v>
      </c>
      <c r="H249" s="22" t="s">
        <v>1586</v>
      </c>
      <c r="I249" s="11"/>
      <c r="J249" s="11"/>
      <c r="K249" s="199">
        <f t="shared" si="59"/>
        <v>525296</v>
      </c>
      <c r="L249" s="201">
        <v>78794</v>
      </c>
      <c r="M249" s="201">
        <v>0</v>
      </c>
      <c r="N249" s="201">
        <v>0</v>
      </c>
      <c r="O249" s="201">
        <v>0</v>
      </c>
      <c r="P249" s="201">
        <v>446502</v>
      </c>
      <c r="Q249" s="200">
        <v>0</v>
      </c>
      <c r="R249" s="209" t="s">
        <v>1210</v>
      </c>
      <c r="S249" s="188" t="s">
        <v>1333</v>
      </c>
      <c r="T249" s="188" t="s">
        <v>1342</v>
      </c>
      <c r="U249" s="188">
        <v>2019</v>
      </c>
      <c r="V249" s="110"/>
      <c r="W249" s="110"/>
      <c r="X249" s="110"/>
    </row>
    <row r="250" spans="1:24" ht="39" customHeight="1" x14ac:dyDescent="0.25">
      <c r="A250" s="39" t="s">
        <v>1233</v>
      </c>
      <c r="B250" s="279" t="s">
        <v>612</v>
      </c>
      <c r="C250" s="30" t="s">
        <v>1339</v>
      </c>
      <c r="D250" s="47" t="s">
        <v>1590</v>
      </c>
      <c r="E250" s="47" t="s">
        <v>1609</v>
      </c>
      <c r="F250" s="47" t="s">
        <v>1446</v>
      </c>
      <c r="G250" s="47" t="s">
        <v>1209</v>
      </c>
      <c r="H250" s="87" t="s">
        <v>1586</v>
      </c>
      <c r="I250" s="47"/>
      <c r="J250" s="47"/>
      <c r="K250" s="199">
        <f t="shared" si="59"/>
        <v>1010880</v>
      </c>
      <c r="L250" s="199">
        <v>151632</v>
      </c>
      <c r="M250" s="199">
        <v>0</v>
      </c>
      <c r="N250" s="199">
        <v>0</v>
      </c>
      <c r="O250" s="199">
        <v>0</v>
      </c>
      <c r="P250" s="199">
        <v>859248</v>
      </c>
      <c r="Q250" s="200">
        <v>0</v>
      </c>
      <c r="R250" s="209" t="s">
        <v>1210</v>
      </c>
      <c r="S250" s="209" t="s">
        <v>1333</v>
      </c>
      <c r="T250" s="209" t="s">
        <v>1351</v>
      </c>
      <c r="U250" s="209">
        <v>2018</v>
      </c>
      <c r="V250" s="110"/>
      <c r="W250" s="110"/>
      <c r="X250" s="110"/>
    </row>
    <row r="251" spans="1:24" ht="39" customHeight="1" x14ac:dyDescent="0.25">
      <c r="A251" s="39" t="s">
        <v>1244</v>
      </c>
      <c r="B251" s="279" t="s">
        <v>613</v>
      </c>
      <c r="C251" s="30" t="s">
        <v>1245</v>
      </c>
      <c r="D251" s="47" t="s">
        <v>1589</v>
      </c>
      <c r="E251" s="47" t="s">
        <v>1609</v>
      </c>
      <c r="F251" s="11" t="s">
        <v>1441</v>
      </c>
      <c r="G251" s="47" t="s">
        <v>1209</v>
      </c>
      <c r="H251" s="87" t="s">
        <v>1586</v>
      </c>
      <c r="I251" s="47"/>
      <c r="J251" s="47"/>
      <c r="K251" s="199">
        <f t="shared" si="59"/>
        <v>985608.23</v>
      </c>
      <c r="L251" s="199">
        <v>147841.23000000001</v>
      </c>
      <c r="M251" s="199">
        <v>0</v>
      </c>
      <c r="N251" s="199">
        <v>0</v>
      </c>
      <c r="O251" s="199">
        <v>0</v>
      </c>
      <c r="P251" s="199">
        <v>837767</v>
      </c>
      <c r="Q251" s="200">
        <v>0</v>
      </c>
      <c r="R251" s="209" t="s">
        <v>1210</v>
      </c>
      <c r="S251" s="209" t="s">
        <v>804</v>
      </c>
      <c r="T251" s="209" t="s">
        <v>1329</v>
      </c>
      <c r="U251" s="209">
        <v>2020</v>
      </c>
      <c r="V251" s="110"/>
      <c r="W251" s="110"/>
      <c r="X251" s="110"/>
    </row>
    <row r="252" spans="1:24" ht="39" customHeight="1" x14ac:dyDescent="0.25">
      <c r="A252" s="39" t="s">
        <v>1247</v>
      </c>
      <c r="B252" s="279" t="s">
        <v>614</v>
      </c>
      <c r="C252" s="23" t="s">
        <v>1411</v>
      </c>
      <c r="D252" s="11" t="s">
        <v>850</v>
      </c>
      <c r="E252" s="11" t="s">
        <v>1609</v>
      </c>
      <c r="F252" s="11" t="s">
        <v>1400</v>
      </c>
      <c r="G252" s="14" t="s">
        <v>1209</v>
      </c>
      <c r="H252" s="22" t="s">
        <v>1586</v>
      </c>
      <c r="I252" s="11" t="s">
        <v>858</v>
      </c>
      <c r="J252" s="11"/>
      <c r="K252" s="199">
        <f t="shared" si="59"/>
        <v>6714639</v>
      </c>
      <c r="L252" s="204">
        <v>1007196</v>
      </c>
      <c r="M252" s="204">
        <v>0</v>
      </c>
      <c r="N252" s="204">
        <v>0</v>
      </c>
      <c r="O252" s="204">
        <v>0</v>
      </c>
      <c r="P252" s="204">
        <v>5707443</v>
      </c>
      <c r="Q252" s="200">
        <v>0</v>
      </c>
      <c r="R252" s="188" t="s">
        <v>807</v>
      </c>
      <c r="S252" s="188" t="s">
        <v>1333</v>
      </c>
      <c r="T252" s="188" t="s">
        <v>803</v>
      </c>
      <c r="U252" s="188">
        <v>2018</v>
      </c>
      <c r="V252" s="110"/>
      <c r="W252" s="110"/>
      <c r="X252" s="110"/>
    </row>
    <row r="253" spans="1:24" ht="39" customHeight="1" x14ac:dyDescent="0.25">
      <c r="A253" s="404" t="s">
        <v>1642</v>
      </c>
      <c r="B253" s="405"/>
      <c r="C253" s="404" t="s">
        <v>1643</v>
      </c>
      <c r="D253" s="405"/>
      <c r="E253" s="405"/>
      <c r="F253" s="405"/>
      <c r="G253" s="405"/>
      <c r="H253" s="405"/>
      <c r="I253" s="405"/>
      <c r="J253" s="405"/>
      <c r="K253" s="407">
        <f t="shared" ref="K253:Q253" si="60">K254+K269</f>
        <v>8635752.2159962934</v>
      </c>
      <c r="L253" s="407">
        <f t="shared" si="60"/>
        <v>621890.78</v>
      </c>
      <c r="M253" s="407">
        <f t="shared" si="60"/>
        <v>3809665.85</v>
      </c>
      <c r="N253" s="407">
        <f t="shared" si="60"/>
        <v>0</v>
      </c>
      <c r="O253" s="407">
        <f t="shared" si="60"/>
        <v>14909</v>
      </c>
      <c r="P253" s="407">
        <f t="shared" si="60"/>
        <v>4189286.585996293</v>
      </c>
      <c r="Q253" s="407">
        <f t="shared" si="60"/>
        <v>0</v>
      </c>
      <c r="R253" s="408"/>
      <c r="S253" s="408"/>
      <c r="T253" s="408"/>
      <c r="U253" s="408"/>
      <c r="V253" s="110"/>
      <c r="W253" s="110"/>
      <c r="X253" s="110"/>
    </row>
    <row r="254" spans="1:24" ht="39" customHeight="1" x14ac:dyDescent="0.25">
      <c r="A254" s="391" t="s">
        <v>1644</v>
      </c>
      <c r="B254" s="392"/>
      <c r="C254" s="391" t="s">
        <v>1652</v>
      </c>
      <c r="D254" s="392"/>
      <c r="E254" s="392"/>
      <c r="F254" s="392"/>
      <c r="G254" s="392"/>
      <c r="H254" s="392"/>
      <c r="I254" s="392"/>
      <c r="J254" s="392"/>
      <c r="K254" s="416">
        <f t="shared" ref="K254:Q254" si="61">K255+K256+K257+K266+K267+K268</f>
        <v>1658562.3699999999</v>
      </c>
      <c r="L254" s="416">
        <f t="shared" si="61"/>
        <v>124392.27000000002</v>
      </c>
      <c r="M254" s="416">
        <f t="shared" si="61"/>
        <v>124392.10999999999</v>
      </c>
      <c r="N254" s="416">
        <f t="shared" si="61"/>
        <v>0</v>
      </c>
      <c r="O254" s="416">
        <f t="shared" si="61"/>
        <v>0</v>
      </c>
      <c r="P254" s="416">
        <f t="shared" si="61"/>
        <v>1409777.9900000002</v>
      </c>
      <c r="Q254" s="416">
        <f t="shared" si="61"/>
        <v>0</v>
      </c>
      <c r="R254" s="419"/>
      <c r="S254" s="419"/>
      <c r="T254" s="419"/>
      <c r="U254" s="419"/>
      <c r="V254" s="110"/>
      <c r="W254" s="110"/>
      <c r="X254" s="110"/>
    </row>
    <row r="255" spans="1:24" ht="39" customHeight="1" x14ac:dyDescent="0.25">
      <c r="A255" s="428" t="s">
        <v>1733</v>
      </c>
      <c r="B255" s="436"/>
      <c r="C255" s="428" t="s">
        <v>1760</v>
      </c>
      <c r="D255" s="436"/>
      <c r="E255" s="436"/>
      <c r="F255" s="436"/>
      <c r="G255" s="436"/>
      <c r="H255" s="436"/>
      <c r="I255" s="436"/>
      <c r="J255" s="436"/>
      <c r="K255" s="441">
        <v>0</v>
      </c>
      <c r="L255" s="441">
        <v>0</v>
      </c>
      <c r="M255" s="441">
        <v>0</v>
      </c>
      <c r="N255" s="441">
        <v>0</v>
      </c>
      <c r="O255" s="441">
        <v>0</v>
      </c>
      <c r="P255" s="441">
        <v>0</v>
      </c>
      <c r="Q255" s="441">
        <v>0</v>
      </c>
      <c r="R255" s="435"/>
      <c r="S255" s="435"/>
      <c r="T255" s="435"/>
      <c r="U255" s="435"/>
      <c r="V255" s="110"/>
      <c r="W255" s="110"/>
      <c r="X255" s="110"/>
    </row>
    <row r="256" spans="1:24" ht="39" customHeight="1" x14ac:dyDescent="0.25">
      <c r="A256" s="428" t="s">
        <v>1734</v>
      </c>
      <c r="B256" s="436"/>
      <c r="C256" s="428" t="s">
        <v>1761</v>
      </c>
      <c r="D256" s="436"/>
      <c r="E256" s="436"/>
      <c r="F256" s="436"/>
      <c r="G256" s="436"/>
      <c r="H256" s="436"/>
      <c r="I256" s="436"/>
      <c r="J256" s="436"/>
      <c r="K256" s="441">
        <v>0</v>
      </c>
      <c r="L256" s="441">
        <v>0</v>
      </c>
      <c r="M256" s="441">
        <v>0</v>
      </c>
      <c r="N256" s="441">
        <v>0</v>
      </c>
      <c r="O256" s="441">
        <v>0</v>
      </c>
      <c r="P256" s="441">
        <v>0</v>
      </c>
      <c r="Q256" s="441">
        <v>0</v>
      </c>
      <c r="R256" s="435"/>
      <c r="S256" s="435"/>
      <c r="T256" s="435"/>
      <c r="U256" s="435"/>
      <c r="V256" s="110"/>
      <c r="W256" s="110"/>
      <c r="X256" s="110"/>
    </row>
    <row r="257" spans="1:25" ht="39" customHeight="1" x14ac:dyDescent="0.25">
      <c r="A257" s="428" t="s">
        <v>1735</v>
      </c>
      <c r="B257" s="436"/>
      <c r="C257" s="428" t="s">
        <v>1762</v>
      </c>
      <c r="D257" s="436"/>
      <c r="E257" s="436"/>
      <c r="F257" s="436"/>
      <c r="G257" s="436"/>
      <c r="H257" s="436"/>
      <c r="I257" s="436"/>
      <c r="J257" s="436"/>
      <c r="K257" s="433">
        <f t="shared" ref="K257:Q257" si="62">SUM(K258:K265)</f>
        <v>1658562.3699999999</v>
      </c>
      <c r="L257" s="433">
        <f t="shared" si="62"/>
        <v>124392.27000000002</v>
      </c>
      <c r="M257" s="433">
        <f t="shared" si="62"/>
        <v>124392.10999999999</v>
      </c>
      <c r="N257" s="433">
        <f t="shared" si="62"/>
        <v>0</v>
      </c>
      <c r="O257" s="433">
        <f t="shared" si="62"/>
        <v>0</v>
      </c>
      <c r="P257" s="433">
        <f t="shared" si="62"/>
        <v>1409777.9900000002</v>
      </c>
      <c r="Q257" s="433">
        <f t="shared" si="62"/>
        <v>0</v>
      </c>
      <c r="R257" s="435"/>
      <c r="S257" s="435"/>
      <c r="T257" s="435"/>
      <c r="U257" s="435"/>
      <c r="V257" s="110"/>
      <c r="W257" s="110"/>
      <c r="X257" s="110"/>
    </row>
    <row r="258" spans="1:25" ht="39" customHeight="1" x14ac:dyDescent="0.25">
      <c r="A258" s="57" t="s">
        <v>826</v>
      </c>
      <c r="B258" s="279" t="s">
        <v>615</v>
      </c>
      <c r="C258" s="36" t="s">
        <v>827</v>
      </c>
      <c r="D258" s="12" t="s">
        <v>409</v>
      </c>
      <c r="E258" s="16" t="s">
        <v>401</v>
      </c>
      <c r="F258" s="16" t="s">
        <v>1455</v>
      </c>
      <c r="G258" s="12" t="s">
        <v>1412</v>
      </c>
      <c r="H258" s="336" t="s">
        <v>1586</v>
      </c>
      <c r="I258" s="16"/>
      <c r="J258" s="16"/>
      <c r="K258" s="337">
        <f>L258+M258+N258+O258+P258</f>
        <v>182441.86</v>
      </c>
      <c r="L258" s="141">
        <v>13683.15</v>
      </c>
      <c r="M258" s="141">
        <v>13683.13</v>
      </c>
      <c r="N258" s="141">
        <v>0</v>
      </c>
      <c r="O258" s="141">
        <v>0</v>
      </c>
      <c r="P258" s="141">
        <v>155075.57999999999</v>
      </c>
      <c r="Q258" s="141">
        <v>0</v>
      </c>
      <c r="R258" s="338" t="s">
        <v>1324</v>
      </c>
      <c r="S258" s="339" t="s">
        <v>38</v>
      </c>
      <c r="T258" s="339" t="s">
        <v>1348</v>
      </c>
      <c r="U258" s="340">
        <v>2021</v>
      </c>
      <c r="V258" s="111"/>
      <c r="W258" s="111"/>
      <c r="X258" s="111"/>
      <c r="Y258" s="73"/>
    </row>
    <row r="259" spans="1:25" ht="39" customHeight="1" x14ac:dyDescent="0.25">
      <c r="A259" s="57" t="s">
        <v>906</v>
      </c>
      <c r="B259" s="279" t="s">
        <v>616</v>
      </c>
      <c r="C259" s="328" t="s">
        <v>415</v>
      </c>
      <c r="D259" s="329" t="s">
        <v>861</v>
      </c>
      <c r="E259" s="329" t="s">
        <v>401</v>
      </c>
      <c r="F259" s="329" t="s">
        <v>1400</v>
      </c>
      <c r="G259" s="341" t="s">
        <v>1412</v>
      </c>
      <c r="H259" s="331" t="s">
        <v>1586</v>
      </c>
      <c r="I259" s="329" t="s">
        <v>858</v>
      </c>
      <c r="J259" s="329"/>
      <c r="K259" s="337">
        <f t="shared" ref="K259:K265" si="63">L259+M259+N259+O259+P259</f>
        <v>524603.27</v>
      </c>
      <c r="L259" s="342">
        <v>39345.26</v>
      </c>
      <c r="M259" s="342">
        <v>39345.230000000003</v>
      </c>
      <c r="N259" s="342">
        <v>0</v>
      </c>
      <c r="O259" s="342">
        <v>0</v>
      </c>
      <c r="P259" s="342">
        <v>445912.78</v>
      </c>
      <c r="Q259" s="141">
        <v>0</v>
      </c>
      <c r="R259" s="335" t="s">
        <v>66</v>
      </c>
      <c r="S259" s="335" t="s">
        <v>38</v>
      </c>
      <c r="T259" s="335" t="s">
        <v>1348</v>
      </c>
      <c r="U259" s="335">
        <v>2020</v>
      </c>
      <c r="V259" s="111"/>
      <c r="W259" s="111"/>
      <c r="X259" s="110"/>
    </row>
    <row r="260" spans="1:25" ht="39" customHeight="1" x14ac:dyDescent="0.25">
      <c r="A260" s="343" t="s">
        <v>416</v>
      </c>
      <c r="B260" s="279" t="s">
        <v>617</v>
      </c>
      <c r="C260" s="344" t="s">
        <v>417</v>
      </c>
      <c r="D260" s="345" t="s">
        <v>418</v>
      </c>
      <c r="E260" s="345" t="s">
        <v>401</v>
      </c>
      <c r="F260" s="345" t="s">
        <v>1446</v>
      </c>
      <c r="G260" s="345" t="s">
        <v>1412</v>
      </c>
      <c r="H260" s="345" t="s">
        <v>1586</v>
      </c>
      <c r="I260" s="315"/>
      <c r="J260" s="315"/>
      <c r="K260" s="337">
        <f t="shared" si="63"/>
        <v>232364.59</v>
      </c>
      <c r="L260" s="346">
        <v>17427.349999999999</v>
      </c>
      <c r="M260" s="346">
        <v>17427.34</v>
      </c>
      <c r="N260" s="141">
        <v>0</v>
      </c>
      <c r="O260" s="141">
        <v>0</v>
      </c>
      <c r="P260" s="346">
        <v>197509.9</v>
      </c>
      <c r="Q260" s="141">
        <v>0</v>
      </c>
      <c r="R260" s="335" t="s">
        <v>66</v>
      </c>
      <c r="S260" s="335" t="s">
        <v>38</v>
      </c>
      <c r="T260" s="335" t="s">
        <v>1348</v>
      </c>
      <c r="U260" s="327">
        <v>2021</v>
      </c>
      <c r="V260" s="111"/>
      <c r="W260" s="111"/>
      <c r="X260" s="110"/>
    </row>
    <row r="261" spans="1:25" ht="39" customHeight="1" x14ac:dyDescent="0.25">
      <c r="A261" s="344" t="s">
        <v>419</v>
      </c>
      <c r="B261" s="279" t="s">
        <v>618</v>
      </c>
      <c r="C261" s="328" t="s">
        <v>420</v>
      </c>
      <c r="D261" s="330" t="s">
        <v>421</v>
      </c>
      <c r="E261" s="345" t="s">
        <v>401</v>
      </c>
      <c r="F261" s="330" t="s">
        <v>1456</v>
      </c>
      <c r="G261" s="345" t="s">
        <v>1412</v>
      </c>
      <c r="H261" s="345" t="s">
        <v>1586</v>
      </c>
      <c r="I261" s="345"/>
      <c r="J261" s="345"/>
      <c r="K261" s="337">
        <f t="shared" si="63"/>
        <v>149270.64000000001</v>
      </c>
      <c r="L261" s="346">
        <v>11195.33</v>
      </c>
      <c r="M261" s="334">
        <v>11195.29</v>
      </c>
      <c r="N261" s="141">
        <v>0</v>
      </c>
      <c r="O261" s="141">
        <v>0</v>
      </c>
      <c r="P261" s="346">
        <v>126880.02</v>
      </c>
      <c r="Q261" s="141">
        <v>0</v>
      </c>
      <c r="R261" s="347" t="s">
        <v>1325</v>
      </c>
      <c r="S261" s="347" t="s">
        <v>1324</v>
      </c>
      <c r="T261" s="347" t="s">
        <v>1348</v>
      </c>
      <c r="U261" s="335">
        <v>2021</v>
      </c>
      <c r="V261" s="111"/>
      <c r="W261" s="111"/>
      <c r="X261" s="110"/>
    </row>
    <row r="262" spans="1:25" ht="39" customHeight="1" x14ac:dyDescent="0.25">
      <c r="A262" s="348" t="s">
        <v>422</v>
      </c>
      <c r="B262" s="279" t="s">
        <v>619</v>
      </c>
      <c r="C262" s="348" t="s">
        <v>423</v>
      </c>
      <c r="D262" s="349" t="s">
        <v>424</v>
      </c>
      <c r="E262" s="349" t="s">
        <v>401</v>
      </c>
      <c r="F262" s="349" t="s">
        <v>1441</v>
      </c>
      <c r="G262" s="349" t="s">
        <v>1412</v>
      </c>
      <c r="H262" s="349" t="s">
        <v>1586</v>
      </c>
      <c r="I262" s="349"/>
      <c r="J262" s="349"/>
      <c r="K262" s="337">
        <f t="shared" si="63"/>
        <v>204003.16</v>
      </c>
      <c r="L262" s="142">
        <v>15300.24</v>
      </c>
      <c r="M262" s="142">
        <v>15300.23</v>
      </c>
      <c r="N262" s="141">
        <v>0</v>
      </c>
      <c r="O262" s="141">
        <v>0</v>
      </c>
      <c r="P262" s="142">
        <v>173402.69</v>
      </c>
      <c r="Q262" s="141">
        <v>0</v>
      </c>
      <c r="R262" s="326" t="s">
        <v>66</v>
      </c>
      <c r="S262" s="326" t="s">
        <v>38</v>
      </c>
      <c r="T262" s="326" t="s">
        <v>1348</v>
      </c>
      <c r="U262" s="326">
        <v>2020</v>
      </c>
      <c r="V262" s="111"/>
      <c r="W262" s="111"/>
      <c r="X262" s="110"/>
    </row>
    <row r="263" spans="1:25" ht="39" customHeight="1" x14ac:dyDescent="0.25">
      <c r="A263" s="350" t="s">
        <v>425</v>
      </c>
      <c r="B263" s="279" t="s">
        <v>620</v>
      </c>
      <c r="C263" s="328" t="s">
        <v>426</v>
      </c>
      <c r="D263" s="330" t="s">
        <v>1584</v>
      </c>
      <c r="E263" s="330" t="s">
        <v>401</v>
      </c>
      <c r="F263" s="330" t="s">
        <v>1436</v>
      </c>
      <c r="G263" s="345" t="s">
        <v>1412</v>
      </c>
      <c r="H263" s="351" t="s">
        <v>1586</v>
      </c>
      <c r="I263" s="352"/>
      <c r="J263" s="352"/>
      <c r="K263" s="337">
        <f t="shared" si="63"/>
        <v>140977.79999999999</v>
      </c>
      <c r="L263" s="353">
        <v>10573.34</v>
      </c>
      <c r="M263" s="353">
        <v>10573.33</v>
      </c>
      <c r="N263" s="141">
        <v>0</v>
      </c>
      <c r="O263" s="141">
        <v>0</v>
      </c>
      <c r="P263" s="353">
        <v>119831.13</v>
      </c>
      <c r="Q263" s="141">
        <v>0</v>
      </c>
      <c r="R263" s="354" t="s">
        <v>66</v>
      </c>
      <c r="S263" s="354" t="s">
        <v>38</v>
      </c>
      <c r="T263" s="354" t="s">
        <v>1348</v>
      </c>
      <c r="U263" s="354">
        <v>2022</v>
      </c>
      <c r="V263" s="111"/>
      <c r="W263" s="111"/>
      <c r="X263" s="110"/>
    </row>
    <row r="264" spans="1:25" ht="39" customHeight="1" x14ac:dyDescent="0.25">
      <c r="A264" s="328" t="s">
        <v>427</v>
      </c>
      <c r="B264" s="279" t="s">
        <v>621</v>
      </c>
      <c r="C264" s="328" t="s">
        <v>428</v>
      </c>
      <c r="D264" s="330" t="s">
        <v>1145</v>
      </c>
      <c r="E264" s="330" t="s">
        <v>401</v>
      </c>
      <c r="F264" s="330" t="s">
        <v>1147</v>
      </c>
      <c r="G264" s="330" t="s">
        <v>1412</v>
      </c>
      <c r="H264" s="351" t="s">
        <v>1586</v>
      </c>
      <c r="I264" s="330"/>
      <c r="J264" s="330"/>
      <c r="K264" s="337">
        <f t="shared" si="63"/>
        <v>68332.77</v>
      </c>
      <c r="L264" s="332">
        <v>5124.97</v>
      </c>
      <c r="M264" s="346">
        <v>5124.95</v>
      </c>
      <c r="N264" s="141">
        <v>0</v>
      </c>
      <c r="O264" s="141">
        <v>0</v>
      </c>
      <c r="P264" s="332">
        <v>58082.85</v>
      </c>
      <c r="Q264" s="141">
        <v>0</v>
      </c>
      <c r="R264" s="354" t="s">
        <v>66</v>
      </c>
      <c r="S264" s="354" t="s">
        <v>38</v>
      </c>
      <c r="T264" s="354" t="s">
        <v>1348</v>
      </c>
      <c r="U264" s="355">
        <v>2020</v>
      </c>
      <c r="V264" s="111"/>
      <c r="W264" s="111"/>
      <c r="X264" s="110"/>
    </row>
    <row r="265" spans="1:25" ht="39" customHeight="1" x14ac:dyDescent="0.25">
      <c r="A265" s="328" t="s">
        <v>429</v>
      </c>
      <c r="B265" s="279" t="s">
        <v>622</v>
      </c>
      <c r="C265" s="328" t="s">
        <v>430</v>
      </c>
      <c r="D265" s="345" t="s">
        <v>1587</v>
      </c>
      <c r="E265" s="345" t="s">
        <v>401</v>
      </c>
      <c r="F265" s="345" t="s">
        <v>1454</v>
      </c>
      <c r="G265" s="345" t="s">
        <v>1412</v>
      </c>
      <c r="H265" s="345" t="s">
        <v>1586</v>
      </c>
      <c r="I265" s="345"/>
      <c r="J265" s="345"/>
      <c r="K265" s="337">
        <f t="shared" si="63"/>
        <v>156568.28</v>
      </c>
      <c r="L265" s="353">
        <v>11742.63</v>
      </c>
      <c r="M265" s="334">
        <v>11742.61</v>
      </c>
      <c r="N265" s="141">
        <v>0</v>
      </c>
      <c r="O265" s="141">
        <v>0</v>
      </c>
      <c r="P265" s="353">
        <v>133083.04</v>
      </c>
      <c r="Q265" s="141">
        <v>0</v>
      </c>
      <c r="R265" s="354" t="s">
        <v>66</v>
      </c>
      <c r="S265" s="354" t="s">
        <v>38</v>
      </c>
      <c r="T265" s="354" t="s">
        <v>1348</v>
      </c>
      <c r="U265" s="327">
        <v>2022</v>
      </c>
      <c r="V265" s="111"/>
      <c r="W265" s="111"/>
      <c r="X265" s="110"/>
    </row>
    <row r="266" spans="1:25" ht="63" customHeight="1" x14ac:dyDescent="0.25">
      <c r="A266" s="428" t="s">
        <v>1736</v>
      </c>
      <c r="B266" s="436"/>
      <c r="C266" s="428" t="s">
        <v>1763</v>
      </c>
      <c r="D266" s="436"/>
      <c r="E266" s="436"/>
      <c r="F266" s="436"/>
      <c r="G266" s="436"/>
      <c r="H266" s="436"/>
      <c r="I266" s="436"/>
      <c r="J266" s="436"/>
      <c r="K266" s="441">
        <v>0</v>
      </c>
      <c r="L266" s="441">
        <v>0</v>
      </c>
      <c r="M266" s="441">
        <v>0</v>
      </c>
      <c r="N266" s="441">
        <v>0</v>
      </c>
      <c r="O266" s="441">
        <v>0</v>
      </c>
      <c r="P266" s="441">
        <v>0</v>
      </c>
      <c r="Q266" s="441">
        <v>0</v>
      </c>
      <c r="R266" s="435"/>
      <c r="S266" s="435"/>
      <c r="T266" s="435"/>
      <c r="U266" s="435"/>
      <c r="V266" s="110"/>
      <c r="W266" s="110"/>
      <c r="X266" s="110"/>
    </row>
    <row r="267" spans="1:25" ht="39" customHeight="1" x14ac:dyDescent="0.25">
      <c r="A267" s="428" t="s">
        <v>1737</v>
      </c>
      <c r="B267" s="436"/>
      <c r="C267" s="428" t="s">
        <v>1764</v>
      </c>
      <c r="D267" s="436"/>
      <c r="E267" s="436"/>
      <c r="F267" s="436"/>
      <c r="G267" s="436"/>
      <c r="H267" s="436"/>
      <c r="I267" s="436"/>
      <c r="J267" s="436"/>
      <c r="K267" s="441">
        <v>0</v>
      </c>
      <c r="L267" s="441">
        <v>0</v>
      </c>
      <c r="M267" s="441">
        <v>0</v>
      </c>
      <c r="N267" s="441">
        <v>0</v>
      </c>
      <c r="O267" s="441">
        <v>0</v>
      </c>
      <c r="P267" s="441">
        <v>0</v>
      </c>
      <c r="Q267" s="441">
        <v>0</v>
      </c>
      <c r="R267" s="435"/>
      <c r="S267" s="435"/>
      <c r="T267" s="435"/>
      <c r="U267" s="435"/>
      <c r="V267" s="110"/>
      <c r="W267" s="110"/>
      <c r="X267" s="110"/>
    </row>
    <row r="268" spans="1:25" ht="39" customHeight="1" x14ac:dyDescent="0.25">
      <c r="A268" s="428" t="s">
        <v>1738</v>
      </c>
      <c r="B268" s="436"/>
      <c r="C268" s="428" t="s">
        <v>1765</v>
      </c>
      <c r="D268" s="436"/>
      <c r="E268" s="436"/>
      <c r="F268" s="436"/>
      <c r="G268" s="436"/>
      <c r="H268" s="436"/>
      <c r="I268" s="436"/>
      <c r="J268" s="436"/>
      <c r="K268" s="441">
        <v>0</v>
      </c>
      <c r="L268" s="441">
        <v>0</v>
      </c>
      <c r="M268" s="441">
        <v>0</v>
      </c>
      <c r="N268" s="441">
        <v>0</v>
      </c>
      <c r="O268" s="441">
        <v>0</v>
      </c>
      <c r="P268" s="441">
        <v>0</v>
      </c>
      <c r="Q268" s="441">
        <v>0</v>
      </c>
      <c r="R268" s="435"/>
      <c r="S268" s="435"/>
      <c r="T268" s="435"/>
      <c r="U268" s="435"/>
      <c r="V268" s="110"/>
      <c r="W268" s="110"/>
      <c r="X268" s="110"/>
    </row>
    <row r="269" spans="1:25" ht="39" customHeight="1" x14ac:dyDescent="0.25">
      <c r="A269" s="391" t="s">
        <v>1645</v>
      </c>
      <c r="B269" s="392"/>
      <c r="C269" s="391" t="s">
        <v>1653</v>
      </c>
      <c r="D269" s="392"/>
      <c r="E269" s="392"/>
      <c r="F269" s="392"/>
      <c r="G269" s="392"/>
      <c r="H269" s="392"/>
      <c r="I269" s="392"/>
      <c r="J269" s="392"/>
      <c r="K269" s="416">
        <f t="shared" ref="K269:Q269" si="64">K270+K280+K281</f>
        <v>6977189.8459962932</v>
      </c>
      <c r="L269" s="416">
        <f t="shared" si="64"/>
        <v>497498.51</v>
      </c>
      <c r="M269" s="416">
        <f t="shared" si="64"/>
        <v>3685273.74</v>
      </c>
      <c r="N269" s="416">
        <f t="shared" si="64"/>
        <v>0</v>
      </c>
      <c r="O269" s="416">
        <f t="shared" si="64"/>
        <v>14909</v>
      </c>
      <c r="P269" s="416">
        <f t="shared" si="64"/>
        <v>2779508.5959962928</v>
      </c>
      <c r="Q269" s="416">
        <f t="shared" si="64"/>
        <v>0</v>
      </c>
      <c r="R269" s="419"/>
      <c r="S269" s="419"/>
      <c r="T269" s="419"/>
      <c r="U269" s="419"/>
      <c r="V269" s="110"/>
      <c r="W269" s="110"/>
      <c r="X269" s="110"/>
    </row>
    <row r="270" spans="1:25" ht="58.5" customHeight="1" x14ac:dyDescent="0.25">
      <c r="A270" s="428" t="s">
        <v>1739</v>
      </c>
      <c r="B270" s="436"/>
      <c r="C270" s="428" t="s">
        <v>1766</v>
      </c>
      <c r="D270" s="436"/>
      <c r="E270" s="436"/>
      <c r="F270" s="436"/>
      <c r="G270" s="436"/>
      <c r="H270" s="436"/>
      <c r="I270" s="436"/>
      <c r="J270" s="436"/>
      <c r="K270" s="433">
        <f t="shared" ref="K270:Q270" si="65">SUM(K271:K279)</f>
        <v>6576712.7359962929</v>
      </c>
      <c r="L270" s="433">
        <f t="shared" si="65"/>
        <v>467462.66000000003</v>
      </c>
      <c r="M270" s="433">
        <f t="shared" si="65"/>
        <v>3655238</v>
      </c>
      <c r="N270" s="433">
        <f t="shared" si="65"/>
        <v>0</v>
      </c>
      <c r="O270" s="433">
        <f t="shared" si="65"/>
        <v>14909</v>
      </c>
      <c r="P270" s="433">
        <f t="shared" si="65"/>
        <v>2439103.0759962928</v>
      </c>
      <c r="Q270" s="433">
        <f t="shared" si="65"/>
        <v>0</v>
      </c>
      <c r="R270" s="435"/>
      <c r="S270" s="435"/>
      <c r="T270" s="435"/>
      <c r="U270" s="435"/>
      <c r="V270" s="110"/>
      <c r="W270" s="110"/>
      <c r="X270" s="110"/>
    </row>
    <row r="271" spans="1:25" ht="39" customHeight="1" x14ac:dyDescent="0.25">
      <c r="A271" s="30" t="s">
        <v>398</v>
      </c>
      <c r="B271" s="279" t="s">
        <v>623</v>
      </c>
      <c r="C271" s="30" t="s">
        <v>399</v>
      </c>
      <c r="D271" s="47" t="s">
        <v>400</v>
      </c>
      <c r="E271" s="47" t="s">
        <v>401</v>
      </c>
      <c r="F271" s="47" t="s">
        <v>1446</v>
      </c>
      <c r="G271" s="47" t="s">
        <v>816</v>
      </c>
      <c r="H271" s="87" t="s">
        <v>1592</v>
      </c>
      <c r="I271" s="47"/>
      <c r="J271" s="47"/>
      <c r="K271" s="200">
        <f>L271+M271+N271+O271+P271</f>
        <v>557996</v>
      </c>
      <c r="L271" s="199">
        <v>0</v>
      </c>
      <c r="M271" s="199">
        <v>557996</v>
      </c>
      <c r="N271" s="199">
        <v>0</v>
      </c>
      <c r="O271" s="199">
        <v>0</v>
      </c>
      <c r="P271" s="199">
        <v>0</v>
      </c>
      <c r="Q271" s="199">
        <v>0</v>
      </c>
      <c r="R271" s="188" t="s">
        <v>1319</v>
      </c>
      <c r="S271" s="188" t="s">
        <v>1319</v>
      </c>
      <c r="T271" s="188" t="s">
        <v>1321</v>
      </c>
      <c r="U271" s="188">
        <v>2019</v>
      </c>
      <c r="V271" s="111"/>
      <c r="W271" s="111"/>
      <c r="X271" s="110"/>
    </row>
    <row r="272" spans="1:25" ht="39" customHeight="1" x14ac:dyDescent="0.25">
      <c r="A272" s="30" t="s">
        <v>402</v>
      </c>
      <c r="B272" s="279" t="s">
        <v>624</v>
      </c>
      <c r="C272" s="30" t="s">
        <v>403</v>
      </c>
      <c r="D272" s="47" t="s">
        <v>404</v>
      </c>
      <c r="E272" s="47" t="s">
        <v>401</v>
      </c>
      <c r="F272" s="47" t="s">
        <v>1446</v>
      </c>
      <c r="G272" s="47" t="s">
        <v>816</v>
      </c>
      <c r="H272" s="87" t="s">
        <v>1592</v>
      </c>
      <c r="I272" s="47"/>
      <c r="J272" s="47"/>
      <c r="K272" s="200">
        <f t="shared" ref="K272:K279" si="66">L272+M272+N272+O272+P272</f>
        <v>1599571</v>
      </c>
      <c r="L272" s="199">
        <v>0</v>
      </c>
      <c r="M272" s="199">
        <v>1599571</v>
      </c>
      <c r="N272" s="199">
        <v>0</v>
      </c>
      <c r="O272" s="199">
        <v>0</v>
      </c>
      <c r="P272" s="199">
        <v>0</v>
      </c>
      <c r="Q272" s="199">
        <v>0</v>
      </c>
      <c r="R272" s="188" t="s">
        <v>1319</v>
      </c>
      <c r="S272" s="188" t="s">
        <v>1319</v>
      </c>
      <c r="T272" s="188" t="s">
        <v>1321</v>
      </c>
      <c r="U272" s="188">
        <v>2019</v>
      </c>
      <c r="V272" s="111"/>
      <c r="W272" s="111"/>
      <c r="X272" s="110"/>
    </row>
    <row r="273" spans="1:25" ht="54.75" customHeight="1" x14ac:dyDescent="0.25">
      <c r="A273" s="30" t="s">
        <v>405</v>
      </c>
      <c r="B273" s="279" t="s">
        <v>625</v>
      </c>
      <c r="C273" s="30" t="s">
        <v>406</v>
      </c>
      <c r="D273" s="47" t="s">
        <v>407</v>
      </c>
      <c r="E273" s="47" t="s">
        <v>401</v>
      </c>
      <c r="F273" s="47" t="s">
        <v>1446</v>
      </c>
      <c r="G273" s="47" t="s">
        <v>816</v>
      </c>
      <c r="H273" s="87" t="s">
        <v>1592</v>
      </c>
      <c r="I273" s="47"/>
      <c r="J273" s="47"/>
      <c r="K273" s="200">
        <f t="shared" si="66"/>
        <v>954695</v>
      </c>
      <c r="L273" s="199">
        <v>0</v>
      </c>
      <c r="M273" s="199">
        <v>954695</v>
      </c>
      <c r="N273" s="199">
        <v>0</v>
      </c>
      <c r="O273" s="199">
        <v>0</v>
      </c>
      <c r="P273" s="199">
        <v>0</v>
      </c>
      <c r="Q273" s="199">
        <v>0</v>
      </c>
      <c r="R273" s="188" t="s">
        <v>1319</v>
      </c>
      <c r="S273" s="188" t="s">
        <v>1319</v>
      </c>
      <c r="T273" s="188" t="s">
        <v>1321</v>
      </c>
      <c r="U273" s="188">
        <v>2019</v>
      </c>
      <c r="V273" s="111"/>
      <c r="W273" s="111"/>
      <c r="X273" s="110"/>
    </row>
    <row r="274" spans="1:25" ht="72" customHeight="1" x14ac:dyDescent="0.25">
      <c r="A274" s="30" t="s">
        <v>907</v>
      </c>
      <c r="B274" s="279" t="s">
        <v>626</v>
      </c>
      <c r="C274" s="31" t="s">
        <v>128</v>
      </c>
      <c r="D274" s="33" t="s">
        <v>1587</v>
      </c>
      <c r="E274" s="33" t="s">
        <v>401</v>
      </c>
      <c r="F274" s="33" t="s">
        <v>1454</v>
      </c>
      <c r="G274" s="33" t="s">
        <v>1413</v>
      </c>
      <c r="H274" s="33" t="s">
        <v>1586</v>
      </c>
      <c r="I274" s="33"/>
      <c r="J274" s="33"/>
      <c r="K274" s="200">
        <f t="shared" si="66"/>
        <v>514637.7359962929</v>
      </c>
      <c r="L274" s="199">
        <v>77195.66</v>
      </c>
      <c r="M274" s="138">
        <v>0</v>
      </c>
      <c r="N274" s="138">
        <v>0</v>
      </c>
      <c r="O274" s="138">
        <v>0</v>
      </c>
      <c r="P274" s="199">
        <v>437442.07599629293</v>
      </c>
      <c r="Q274" s="199">
        <v>0</v>
      </c>
      <c r="R274" s="195" t="s">
        <v>1328</v>
      </c>
      <c r="S274" s="217" t="s">
        <v>1321</v>
      </c>
      <c r="T274" s="217" t="s">
        <v>1344</v>
      </c>
      <c r="U274" s="217">
        <v>2022</v>
      </c>
      <c r="V274" s="110"/>
      <c r="W274" s="110"/>
      <c r="X274" s="110"/>
    </row>
    <row r="275" spans="1:25" ht="39" customHeight="1" x14ac:dyDescent="0.25">
      <c r="A275" s="30" t="s">
        <v>908</v>
      </c>
      <c r="B275" s="279" t="s">
        <v>627</v>
      </c>
      <c r="C275" s="36" t="s">
        <v>40</v>
      </c>
      <c r="D275" s="12" t="s">
        <v>41</v>
      </c>
      <c r="E275" s="16" t="s">
        <v>401</v>
      </c>
      <c r="F275" s="16" t="s">
        <v>1455</v>
      </c>
      <c r="G275" s="33" t="s">
        <v>1413</v>
      </c>
      <c r="H275" s="20"/>
      <c r="I275" s="16"/>
      <c r="J275" s="16"/>
      <c r="K275" s="200">
        <f t="shared" si="66"/>
        <v>599684</v>
      </c>
      <c r="L275" s="212">
        <v>44977</v>
      </c>
      <c r="M275" s="212">
        <v>44976</v>
      </c>
      <c r="N275" s="222">
        <v>0</v>
      </c>
      <c r="O275" s="222">
        <v>0</v>
      </c>
      <c r="P275" s="222">
        <v>509731</v>
      </c>
      <c r="Q275" s="199">
        <v>0</v>
      </c>
      <c r="R275" s="220" t="s">
        <v>1321</v>
      </c>
      <c r="S275" s="214" t="s">
        <v>1330</v>
      </c>
      <c r="T275" s="214" t="s">
        <v>1324</v>
      </c>
      <c r="U275" s="233">
        <v>2020</v>
      </c>
      <c r="V275" s="111"/>
      <c r="W275" s="111"/>
      <c r="X275" s="110"/>
    </row>
    <row r="276" spans="1:25" ht="59.25" customHeight="1" x14ac:dyDescent="0.25">
      <c r="A276" s="30" t="s">
        <v>909</v>
      </c>
      <c r="B276" s="279" t="s">
        <v>628</v>
      </c>
      <c r="C276" s="19" t="s">
        <v>828</v>
      </c>
      <c r="D276" s="12" t="s">
        <v>1443</v>
      </c>
      <c r="E276" s="12" t="s">
        <v>401</v>
      </c>
      <c r="F276" s="12" t="s">
        <v>1455</v>
      </c>
      <c r="G276" s="12" t="s">
        <v>816</v>
      </c>
      <c r="H276" s="18"/>
      <c r="I276" s="12"/>
      <c r="J276" s="12"/>
      <c r="K276" s="200">
        <f t="shared" si="66"/>
        <v>343000</v>
      </c>
      <c r="L276" s="212">
        <v>82000</v>
      </c>
      <c r="M276" s="212">
        <v>261000</v>
      </c>
      <c r="N276" s="222">
        <v>0</v>
      </c>
      <c r="O276" s="222">
        <v>0</v>
      </c>
      <c r="P276" s="222">
        <v>0</v>
      </c>
      <c r="Q276" s="199">
        <v>0</v>
      </c>
      <c r="R276" s="234" t="s">
        <v>807</v>
      </c>
      <c r="S276" s="214" t="s">
        <v>807</v>
      </c>
      <c r="T276" s="214" t="s">
        <v>1333</v>
      </c>
      <c r="U276" s="235">
        <v>2018</v>
      </c>
      <c r="V276" s="111"/>
      <c r="W276" s="111"/>
      <c r="X276" s="110"/>
    </row>
    <row r="277" spans="1:25" ht="39" customHeight="1" x14ac:dyDescent="0.25">
      <c r="A277" s="30" t="s">
        <v>910</v>
      </c>
      <c r="B277" s="279" t="s">
        <v>629</v>
      </c>
      <c r="C277" s="19" t="s">
        <v>1221</v>
      </c>
      <c r="D277" s="12" t="s">
        <v>1443</v>
      </c>
      <c r="E277" s="12" t="s">
        <v>401</v>
      </c>
      <c r="F277" s="12" t="s">
        <v>1455</v>
      </c>
      <c r="G277" s="12" t="s">
        <v>816</v>
      </c>
      <c r="H277" s="18"/>
      <c r="I277" s="12"/>
      <c r="J277" s="12"/>
      <c r="K277" s="200">
        <f t="shared" si="66"/>
        <v>251909</v>
      </c>
      <c r="L277" s="212">
        <v>0</v>
      </c>
      <c r="M277" s="212">
        <v>237000</v>
      </c>
      <c r="N277" s="222">
        <v>0</v>
      </c>
      <c r="O277" s="222">
        <v>14909</v>
      </c>
      <c r="P277" s="222">
        <v>0</v>
      </c>
      <c r="Q277" s="199">
        <v>0</v>
      </c>
      <c r="R277" s="234" t="s">
        <v>807</v>
      </c>
      <c r="S277" s="214" t="s">
        <v>807</v>
      </c>
      <c r="T277" s="214" t="s">
        <v>1333</v>
      </c>
      <c r="U277" s="235">
        <v>2016</v>
      </c>
      <c r="V277" s="111"/>
      <c r="W277" s="111"/>
      <c r="X277" s="110"/>
    </row>
    <row r="278" spans="1:25" ht="54.75" customHeight="1" x14ac:dyDescent="0.25">
      <c r="A278" s="30" t="s">
        <v>911</v>
      </c>
      <c r="B278" s="279" t="s">
        <v>630</v>
      </c>
      <c r="C278" s="23" t="s">
        <v>862</v>
      </c>
      <c r="D278" s="11" t="s">
        <v>1200</v>
      </c>
      <c r="E278" s="11" t="s">
        <v>401</v>
      </c>
      <c r="F278" s="11" t="s">
        <v>1400</v>
      </c>
      <c r="G278" s="14" t="s">
        <v>1413</v>
      </c>
      <c r="H278" s="22" t="s">
        <v>1586</v>
      </c>
      <c r="I278" s="11" t="s">
        <v>858</v>
      </c>
      <c r="J278" s="11"/>
      <c r="K278" s="200">
        <f t="shared" si="66"/>
        <v>886360</v>
      </c>
      <c r="L278" s="204">
        <v>132960</v>
      </c>
      <c r="M278" s="204">
        <v>0</v>
      </c>
      <c r="N278" s="204">
        <v>0</v>
      </c>
      <c r="O278" s="204">
        <v>0</v>
      </c>
      <c r="P278" s="204">
        <v>753400</v>
      </c>
      <c r="Q278" s="199">
        <v>0</v>
      </c>
      <c r="R278" s="188" t="s">
        <v>1330</v>
      </c>
      <c r="S278" s="188" t="s">
        <v>66</v>
      </c>
      <c r="T278" s="188" t="s">
        <v>1326</v>
      </c>
      <c r="U278" s="188">
        <v>2019</v>
      </c>
      <c r="V278" s="110"/>
      <c r="W278" s="110"/>
      <c r="X278" s="110"/>
    </row>
    <row r="279" spans="1:25" ht="58.5" customHeight="1" x14ac:dyDescent="0.25">
      <c r="A279" s="30" t="s">
        <v>912</v>
      </c>
      <c r="B279" s="279" t="s">
        <v>631</v>
      </c>
      <c r="C279" s="23" t="s">
        <v>863</v>
      </c>
      <c r="D279" s="11" t="s">
        <v>1201</v>
      </c>
      <c r="E279" s="11" t="s">
        <v>401</v>
      </c>
      <c r="F279" s="11" t="s">
        <v>1400</v>
      </c>
      <c r="G279" s="14" t="s">
        <v>1413</v>
      </c>
      <c r="H279" s="22" t="s">
        <v>1586</v>
      </c>
      <c r="I279" s="11" t="s">
        <v>858</v>
      </c>
      <c r="J279" s="11"/>
      <c r="K279" s="200">
        <f t="shared" si="66"/>
        <v>868860</v>
      </c>
      <c r="L279" s="204">
        <v>130330</v>
      </c>
      <c r="M279" s="204">
        <v>0</v>
      </c>
      <c r="N279" s="204">
        <v>0</v>
      </c>
      <c r="O279" s="204">
        <v>0</v>
      </c>
      <c r="P279" s="204">
        <v>738530</v>
      </c>
      <c r="Q279" s="199">
        <v>0</v>
      </c>
      <c r="R279" s="188" t="s">
        <v>1330</v>
      </c>
      <c r="S279" s="188" t="s">
        <v>66</v>
      </c>
      <c r="T279" s="188" t="s">
        <v>1326</v>
      </c>
      <c r="U279" s="188">
        <v>2019</v>
      </c>
      <c r="V279" s="110"/>
      <c r="W279" s="110"/>
      <c r="X279" s="110"/>
    </row>
    <row r="280" spans="1:25" ht="39" customHeight="1" x14ac:dyDescent="0.25">
      <c r="A280" s="428" t="s">
        <v>1740</v>
      </c>
      <c r="B280" s="436"/>
      <c r="C280" s="428" t="s">
        <v>1767</v>
      </c>
      <c r="D280" s="436"/>
      <c r="E280" s="436"/>
      <c r="F280" s="436"/>
      <c r="G280" s="436"/>
      <c r="H280" s="436"/>
      <c r="I280" s="436"/>
      <c r="J280" s="436"/>
      <c r="K280" s="441">
        <v>0</v>
      </c>
      <c r="L280" s="441">
        <v>0</v>
      </c>
      <c r="M280" s="441">
        <v>0</v>
      </c>
      <c r="N280" s="441">
        <v>0</v>
      </c>
      <c r="O280" s="441">
        <v>0</v>
      </c>
      <c r="P280" s="441">
        <v>0</v>
      </c>
      <c r="Q280" s="441">
        <v>0</v>
      </c>
      <c r="R280" s="435"/>
      <c r="S280" s="435"/>
      <c r="T280" s="435"/>
      <c r="U280" s="435"/>
      <c r="V280" s="110"/>
      <c r="W280" s="110"/>
      <c r="X280" s="110"/>
    </row>
    <row r="281" spans="1:25" ht="39" customHeight="1" x14ac:dyDescent="0.25">
      <c r="A281" s="428" t="s">
        <v>1741</v>
      </c>
      <c r="B281" s="436"/>
      <c r="C281" s="428" t="s">
        <v>1768</v>
      </c>
      <c r="D281" s="436"/>
      <c r="E281" s="436"/>
      <c r="F281" s="436"/>
      <c r="G281" s="436"/>
      <c r="H281" s="436"/>
      <c r="I281" s="436"/>
      <c r="J281" s="436"/>
      <c r="K281" s="433">
        <f>K282+K283+K284+K285+K286+K287+K288+K289</f>
        <v>400477.11</v>
      </c>
      <c r="L281" s="433">
        <f t="shared" ref="L281:Q281" si="67">L282+L283+L284+L285+L286+L287+L288+L289</f>
        <v>30035.849999999995</v>
      </c>
      <c r="M281" s="433">
        <f t="shared" si="67"/>
        <v>30035.739999999994</v>
      </c>
      <c r="N281" s="433">
        <f t="shared" si="67"/>
        <v>0</v>
      </c>
      <c r="O281" s="433">
        <f t="shared" si="67"/>
        <v>0</v>
      </c>
      <c r="P281" s="433">
        <f t="shared" si="67"/>
        <v>340405.52</v>
      </c>
      <c r="Q281" s="433">
        <f t="shared" si="67"/>
        <v>0</v>
      </c>
      <c r="R281" s="435"/>
      <c r="S281" s="435"/>
      <c r="T281" s="435"/>
      <c r="U281" s="435"/>
      <c r="V281" s="110"/>
      <c r="W281" s="110"/>
      <c r="X281" s="110"/>
    </row>
    <row r="282" spans="1:25" ht="39" customHeight="1" x14ac:dyDescent="0.25">
      <c r="A282" s="23" t="s">
        <v>1155</v>
      </c>
      <c r="B282" s="279" t="s">
        <v>632</v>
      </c>
      <c r="C282" s="23" t="s">
        <v>1156</v>
      </c>
      <c r="D282" s="11" t="s">
        <v>1145</v>
      </c>
      <c r="E282" s="11" t="s">
        <v>401</v>
      </c>
      <c r="F282" s="11" t="s">
        <v>1147</v>
      </c>
      <c r="G282" s="11" t="s">
        <v>1413</v>
      </c>
      <c r="H282" s="22" t="s">
        <v>1586</v>
      </c>
      <c r="I282" s="11"/>
      <c r="J282" s="11"/>
      <c r="K282" s="201">
        <f t="shared" ref="K282:K289" si="68">L282+M282+N282+O282+P282</f>
        <v>224608.84</v>
      </c>
      <c r="L282" s="189">
        <v>16845.66</v>
      </c>
      <c r="M282" s="189">
        <v>16845.66</v>
      </c>
      <c r="N282" s="202">
        <v>0</v>
      </c>
      <c r="O282" s="202">
        <v>0</v>
      </c>
      <c r="P282" s="189">
        <v>190917.52</v>
      </c>
      <c r="Q282" s="202">
        <v>0</v>
      </c>
      <c r="R282" s="188" t="s">
        <v>1343</v>
      </c>
      <c r="S282" s="188" t="s">
        <v>1321</v>
      </c>
      <c r="T282" s="188" t="s">
        <v>1344</v>
      </c>
      <c r="U282" s="188">
        <v>2020</v>
      </c>
      <c r="V282" s="111"/>
      <c r="W282" s="111"/>
      <c r="X282" s="111"/>
      <c r="Y282" s="73"/>
    </row>
    <row r="283" spans="1:25" ht="39" customHeight="1" x14ac:dyDescent="0.25">
      <c r="A283" s="23" t="s">
        <v>1847</v>
      </c>
      <c r="B283" s="472" t="s">
        <v>1861</v>
      </c>
      <c r="C283" s="23" t="s">
        <v>1854</v>
      </c>
      <c r="D283" s="11" t="s">
        <v>1584</v>
      </c>
      <c r="E283" s="11" t="s">
        <v>401</v>
      </c>
      <c r="F283" s="11" t="s">
        <v>1436</v>
      </c>
      <c r="G283" s="11" t="s">
        <v>1871</v>
      </c>
      <c r="H283" s="22" t="s">
        <v>1586</v>
      </c>
      <c r="I283" s="11"/>
      <c r="J283" s="11"/>
      <c r="K283" s="201">
        <f t="shared" si="68"/>
        <v>10224.709999999999</v>
      </c>
      <c r="L283" s="189">
        <v>766.86</v>
      </c>
      <c r="M283" s="189">
        <v>766.85</v>
      </c>
      <c r="N283" s="202">
        <v>0</v>
      </c>
      <c r="O283" s="202">
        <v>0</v>
      </c>
      <c r="P283" s="249">
        <v>8691</v>
      </c>
      <c r="Q283" s="202">
        <v>0</v>
      </c>
      <c r="R283" s="188" t="s">
        <v>1324</v>
      </c>
      <c r="S283" s="188" t="s">
        <v>1348</v>
      </c>
      <c r="T283" s="188" t="s">
        <v>1327</v>
      </c>
      <c r="U283" s="188">
        <v>2022</v>
      </c>
      <c r="V283" s="111"/>
      <c r="W283" s="111"/>
      <c r="X283" s="111"/>
      <c r="Y283" s="73"/>
    </row>
    <row r="284" spans="1:25" ht="55.5" customHeight="1" x14ac:dyDescent="0.25">
      <c r="A284" s="23" t="s">
        <v>1848</v>
      </c>
      <c r="B284" s="472" t="s">
        <v>1862</v>
      </c>
      <c r="C284" s="23" t="s">
        <v>1855</v>
      </c>
      <c r="D284" s="11" t="s">
        <v>1868</v>
      </c>
      <c r="E284" s="11" t="s">
        <v>401</v>
      </c>
      <c r="F284" s="11" t="s">
        <v>1456</v>
      </c>
      <c r="G284" s="11" t="s">
        <v>1871</v>
      </c>
      <c r="H284" s="22" t="s">
        <v>1586</v>
      </c>
      <c r="I284" s="11"/>
      <c r="J284" s="11"/>
      <c r="K284" s="201">
        <f t="shared" si="68"/>
        <v>10224.719999999999</v>
      </c>
      <c r="L284" s="189">
        <v>766.87</v>
      </c>
      <c r="M284" s="189">
        <v>766.85</v>
      </c>
      <c r="N284" s="202">
        <v>0</v>
      </c>
      <c r="O284" s="202">
        <v>0</v>
      </c>
      <c r="P284" s="249">
        <v>8691</v>
      </c>
      <c r="Q284" s="202">
        <v>0</v>
      </c>
      <c r="R284" s="188" t="s">
        <v>1324</v>
      </c>
      <c r="S284" s="188" t="s">
        <v>1348</v>
      </c>
      <c r="T284" s="188" t="s">
        <v>1327</v>
      </c>
      <c r="U284" s="188">
        <v>2022</v>
      </c>
      <c r="V284" s="111"/>
      <c r="W284" s="111"/>
      <c r="X284" s="111"/>
      <c r="Y284" s="73"/>
    </row>
    <row r="285" spans="1:25" ht="54.75" customHeight="1" x14ac:dyDescent="0.25">
      <c r="A285" s="23" t="s">
        <v>1849</v>
      </c>
      <c r="B285" s="472" t="s">
        <v>1863</v>
      </c>
      <c r="C285" s="23" t="s">
        <v>1856</v>
      </c>
      <c r="D285" s="11" t="s">
        <v>41</v>
      </c>
      <c r="E285" s="11" t="s">
        <v>401</v>
      </c>
      <c r="F285" s="11" t="s">
        <v>1455</v>
      </c>
      <c r="G285" s="11" t="s">
        <v>1871</v>
      </c>
      <c r="H285" s="22" t="s">
        <v>1586</v>
      </c>
      <c r="I285" s="11"/>
      <c r="J285" s="11"/>
      <c r="K285" s="201">
        <f t="shared" si="68"/>
        <v>17041.18</v>
      </c>
      <c r="L285" s="249">
        <v>1278.0999999999999</v>
      </c>
      <c r="M285" s="189">
        <v>1278.08</v>
      </c>
      <c r="N285" s="202">
        <v>0</v>
      </c>
      <c r="O285" s="202">
        <v>0</v>
      </c>
      <c r="P285" s="249">
        <v>14485</v>
      </c>
      <c r="Q285" s="202">
        <v>0</v>
      </c>
      <c r="R285" s="188" t="s">
        <v>1324</v>
      </c>
      <c r="S285" s="188" t="s">
        <v>1348</v>
      </c>
      <c r="T285" s="188" t="s">
        <v>1327</v>
      </c>
      <c r="U285" s="188">
        <v>2022</v>
      </c>
      <c r="V285" s="111"/>
      <c r="W285" s="111"/>
      <c r="X285" s="111"/>
      <c r="Y285" s="73"/>
    </row>
    <row r="286" spans="1:25" ht="54.75" customHeight="1" x14ac:dyDescent="0.25">
      <c r="A286" s="23" t="s">
        <v>1850</v>
      </c>
      <c r="B286" s="472" t="s">
        <v>1864</v>
      </c>
      <c r="C286" s="23" t="s">
        <v>1857</v>
      </c>
      <c r="D286" s="11" t="s">
        <v>1587</v>
      </c>
      <c r="E286" s="11" t="s">
        <v>401</v>
      </c>
      <c r="F286" s="11" t="s">
        <v>1454</v>
      </c>
      <c r="G286" s="11" t="s">
        <v>1871</v>
      </c>
      <c r="H286" s="22" t="s">
        <v>1586</v>
      </c>
      <c r="I286" s="11"/>
      <c r="J286" s="11"/>
      <c r="K286" s="201">
        <f t="shared" si="68"/>
        <v>23630.59</v>
      </c>
      <c r="L286" s="249">
        <v>1772.3</v>
      </c>
      <c r="M286" s="189">
        <v>1772.29</v>
      </c>
      <c r="N286" s="202">
        <v>0</v>
      </c>
      <c r="O286" s="202">
        <v>0</v>
      </c>
      <c r="P286" s="249">
        <v>20086</v>
      </c>
      <c r="Q286" s="202">
        <v>0</v>
      </c>
      <c r="R286" s="188" t="s">
        <v>1324</v>
      </c>
      <c r="S286" s="188" t="s">
        <v>1326</v>
      </c>
      <c r="T286" s="188" t="s">
        <v>138</v>
      </c>
      <c r="U286" s="188">
        <v>2022</v>
      </c>
      <c r="V286" s="111"/>
      <c r="W286" s="111"/>
      <c r="X286" s="111"/>
      <c r="Y286" s="73"/>
    </row>
    <row r="287" spans="1:25" ht="54.75" customHeight="1" x14ac:dyDescent="0.25">
      <c r="A287" s="23" t="s">
        <v>1851</v>
      </c>
      <c r="B287" s="472" t="s">
        <v>1865</v>
      </c>
      <c r="C287" s="23" t="s">
        <v>1858</v>
      </c>
      <c r="D287" s="11" t="s">
        <v>850</v>
      </c>
      <c r="E287" s="11" t="s">
        <v>401</v>
      </c>
      <c r="F287" s="11" t="s">
        <v>1400</v>
      </c>
      <c r="G287" s="11" t="s">
        <v>1871</v>
      </c>
      <c r="H287" s="22" t="s">
        <v>1586</v>
      </c>
      <c r="I287" s="11"/>
      <c r="J287" s="11"/>
      <c r="K287" s="201">
        <f t="shared" si="68"/>
        <v>69302.36</v>
      </c>
      <c r="L287" s="249">
        <v>5197.6899999999996</v>
      </c>
      <c r="M287" s="189">
        <v>5197.67</v>
      </c>
      <c r="N287" s="202">
        <v>0</v>
      </c>
      <c r="O287" s="202">
        <v>0</v>
      </c>
      <c r="P287" s="249">
        <v>58907</v>
      </c>
      <c r="Q287" s="202">
        <v>0</v>
      </c>
      <c r="R287" s="188" t="s">
        <v>1324</v>
      </c>
      <c r="S287" s="188" t="s">
        <v>1326</v>
      </c>
      <c r="T287" s="188" t="s">
        <v>1346</v>
      </c>
      <c r="U287" s="188">
        <v>2022</v>
      </c>
      <c r="V287" s="111"/>
      <c r="W287" s="111"/>
      <c r="X287" s="111"/>
      <c r="Y287" s="73"/>
    </row>
    <row r="288" spans="1:25" ht="54.75" customHeight="1" x14ac:dyDescent="0.25">
      <c r="A288" s="23" t="s">
        <v>1852</v>
      </c>
      <c r="B288" s="472" t="s">
        <v>1866</v>
      </c>
      <c r="C288" s="23" t="s">
        <v>1859</v>
      </c>
      <c r="D288" s="11" t="s">
        <v>1869</v>
      </c>
      <c r="E288" s="11" t="s">
        <v>401</v>
      </c>
      <c r="F288" s="11" t="s">
        <v>1446</v>
      </c>
      <c r="G288" s="11" t="s">
        <v>1871</v>
      </c>
      <c r="H288" s="22" t="s">
        <v>1586</v>
      </c>
      <c r="I288" s="11"/>
      <c r="J288" s="11"/>
      <c r="K288" s="201">
        <f t="shared" si="68"/>
        <v>24312.95</v>
      </c>
      <c r="L288" s="249">
        <v>1823.48</v>
      </c>
      <c r="M288" s="189">
        <v>1823.47</v>
      </c>
      <c r="N288" s="202">
        <v>0</v>
      </c>
      <c r="O288" s="202">
        <v>0</v>
      </c>
      <c r="P288" s="249">
        <v>20666</v>
      </c>
      <c r="Q288" s="202">
        <v>0</v>
      </c>
      <c r="R288" s="188" t="s">
        <v>1324</v>
      </c>
      <c r="S288" s="188" t="s">
        <v>1326</v>
      </c>
      <c r="T288" s="188" t="s">
        <v>1346</v>
      </c>
      <c r="U288" s="188">
        <v>2021</v>
      </c>
      <c r="V288" s="111"/>
      <c r="W288" s="111"/>
      <c r="X288" s="111"/>
      <c r="Y288" s="73"/>
    </row>
    <row r="289" spans="1:25" ht="54.75" customHeight="1" x14ac:dyDescent="0.25">
      <c r="A289" s="23" t="s">
        <v>1853</v>
      </c>
      <c r="B289" s="472" t="s">
        <v>1867</v>
      </c>
      <c r="C289" s="23" t="s">
        <v>1860</v>
      </c>
      <c r="D289" s="11" t="s">
        <v>1870</v>
      </c>
      <c r="E289" s="11" t="s">
        <v>401</v>
      </c>
      <c r="F289" s="11" t="s">
        <v>1441</v>
      </c>
      <c r="G289" s="11" t="s">
        <v>1871</v>
      </c>
      <c r="H289" s="22" t="s">
        <v>1586</v>
      </c>
      <c r="I289" s="11"/>
      <c r="J289" s="11"/>
      <c r="K289" s="201">
        <f t="shared" si="68"/>
        <v>21131.760000000002</v>
      </c>
      <c r="L289" s="249">
        <v>1584.89</v>
      </c>
      <c r="M289" s="189">
        <v>1584.87</v>
      </c>
      <c r="N289" s="202">
        <v>0</v>
      </c>
      <c r="O289" s="202">
        <v>0</v>
      </c>
      <c r="P289" s="249">
        <v>17962</v>
      </c>
      <c r="Q289" s="202">
        <v>0</v>
      </c>
      <c r="R289" s="188" t="s">
        <v>1324</v>
      </c>
      <c r="S289" s="188" t="s">
        <v>1326</v>
      </c>
      <c r="T289" s="188" t="s">
        <v>138</v>
      </c>
      <c r="U289" s="188">
        <v>2022</v>
      </c>
      <c r="V289" s="111"/>
      <c r="W289" s="111"/>
      <c r="X289" s="111"/>
      <c r="Y289" s="73"/>
    </row>
    <row r="290" spans="1:25" ht="55.5" customHeight="1" x14ac:dyDescent="0.25">
      <c r="A290" s="404" t="s">
        <v>1646</v>
      </c>
      <c r="B290" s="410"/>
      <c r="C290" s="404" t="s">
        <v>1647</v>
      </c>
      <c r="D290" s="410"/>
      <c r="E290" s="410"/>
      <c r="F290" s="410"/>
      <c r="G290" s="410"/>
      <c r="H290" s="410"/>
      <c r="I290" s="410"/>
      <c r="J290" s="410"/>
      <c r="K290" s="407">
        <f t="shared" ref="K290:Q290" si="69">K291+K315</f>
        <v>47401354.950000003</v>
      </c>
      <c r="L290" s="407">
        <f t="shared" si="69"/>
        <v>1477018.08</v>
      </c>
      <c r="M290" s="407">
        <f t="shared" si="69"/>
        <v>6529269.1400000006</v>
      </c>
      <c r="N290" s="407">
        <f t="shared" si="69"/>
        <v>2975483.5900000003</v>
      </c>
      <c r="O290" s="407">
        <f t="shared" si="69"/>
        <v>65000</v>
      </c>
      <c r="P290" s="407">
        <f t="shared" si="69"/>
        <v>36354584.140000001</v>
      </c>
      <c r="Q290" s="407">
        <f t="shared" si="69"/>
        <v>0</v>
      </c>
      <c r="R290" s="409"/>
      <c r="S290" s="409"/>
      <c r="T290" s="409"/>
      <c r="U290" s="409"/>
      <c r="V290" s="110"/>
      <c r="W290" s="110"/>
      <c r="X290" s="110"/>
    </row>
    <row r="291" spans="1:25" ht="39" customHeight="1" x14ac:dyDescent="0.25">
      <c r="A291" s="391" t="s">
        <v>1648</v>
      </c>
      <c r="B291" s="392"/>
      <c r="C291" s="391" t="s">
        <v>1649</v>
      </c>
      <c r="D291" s="392"/>
      <c r="E291" s="392"/>
      <c r="F291" s="392"/>
      <c r="G291" s="392"/>
      <c r="H291" s="392"/>
      <c r="I291" s="392"/>
      <c r="J291" s="392"/>
      <c r="K291" s="416">
        <f t="shared" ref="K291:Q291" si="70">K292+K299+K300+K301+K304</f>
        <v>45901354.950000003</v>
      </c>
      <c r="L291" s="416">
        <f t="shared" si="70"/>
        <v>1364518.08</v>
      </c>
      <c r="M291" s="416">
        <f t="shared" si="70"/>
        <v>6416769.1400000006</v>
      </c>
      <c r="N291" s="416">
        <f t="shared" si="70"/>
        <v>2975483.5900000003</v>
      </c>
      <c r="O291" s="416">
        <f t="shared" si="70"/>
        <v>65000</v>
      </c>
      <c r="P291" s="416">
        <f t="shared" si="70"/>
        <v>35079584.140000001</v>
      </c>
      <c r="Q291" s="416">
        <f t="shared" si="70"/>
        <v>0</v>
      </c>
      <c r="R291" s="419"/>
      <c r="S291" s="419"/>
      <c r="T291" s="419"/>
      <c r="U291" s="419"/>
      <c r="V291" s="110"/>
      <c r="W291" s="110"/>
      <c r="X291" s="110"/>
    </row>
    <row r="292" spans="1:25" ht="39" customHeight="1" x14ac:dyDescent="0.25">
      <c r="A292" s="428" t="s">
        <v>1742</v>
      </c>
      <c r="B292" s="436"/>
      <c r="C292" s="428" t="s">
        <v>1770</v>
      </c>
      <c r="D292" s="436"/>
      <c r="E292" s="436"/>
      <c r="F292" s="436"/>
      <c r="G292" s="436"/>
      <c r="H292" s="436"/>
      <c r="I292" s="436"/>
      <c r="J292" s="436"/>
      <c r="K292" s="433">
        <f t="shared" ref="K292:Q292" si="71">SUM(K293:K298)</f>
        <v>20425177.240000002</v>
      </c>
      <c r="L292" s="433">
        <f t="shared" si="71"/>
        <v>488270</v>
      </c>
      <c r="M292" s="433">
        <f t="shared" si="71"/>
        <v>5892131.7400000002</v>
      </c>
      <c r="N292" s="433">
        <f t="shared" si="71"/>
        <v>0</v>
      </c>
      <c r="O292" s="433">
        <f t="shared" si="71"/>
        <v>65000</v>
      </c>
      <c r="P292" s="433">
        <f t="shared" si="71"/>
        <v>13979775.5</v>
      </c>
      <c r="Q292" s="433">
        <f t="shared" si="71"/>
        <v>0</v>
      </c>
      <c r="R292" s="435"/>
      <c r="S292" s="435"/>
      <c r="T292" s="435"/>
      <c r="U292" s="435"/>
      <c r="V292" s="110"/>
      <c r="W292" s="110"/>
      <c r="X292" s="110"/>
    </row>
    <row r="293" spans="1:25" ht="39" customHeight="1" x14ac:dyDescent="0.25">
      <c r="A293" s="30" t="s">
        <v>408</v>
      </c>
      <c r="B293" s="279" t="s">
        <v>633</v>
      </c>
      <c r="C293" s="30" t="s">
        <v>772</v>
      </c>
      <c r="D293" s="47" t="s">
        <v>1590</v>
      </c>
      <c r="E293" s="47" t="s">
        <v>1588</v>
      </c>
      <c r="F293" s="47" t="s">
        <v>1446</v>
      </c>
      <c r="G293" s="47" t="s">
        <v>816</v>
      </c>
      <c r="H293" s="87" t="s">
        <v>1592</v>
      </c>
      <c r="I293" s="47"/>
      <c r="J293" s="47"/>
      <c r="K293" s="199">
        <f t="shared" ref="K293:K298" si="72">L293+M293+N293+O293+P293</f>
        <v>752330</v>
      </c>
      <c r="L293" s="199">
        <v>151270</v>
      </c>
      <c r="M293" s="199">
        <v>601060</v>
      </c>
      <c r="N293" s="199">
        <v>0</v>
      </c>
      <c r="O293" s="199">
        <v>0</v>
      </c>
      <c r="P293" s="199">
        <v>0</v>
      </c>
      <c r="Q293" s="199">
        <v>0</v>
      </c>
      <c r="R293" s="188" t="s">
        <v>804</v>
      </c>
      <c r="S293" s="188" t="s">
        <v>804</v>
      </c>
      <c r="T293" s="188" t="s">
        <v>804</v>
      </c>
      <c r="U293" s="188">
        <v>2017</v>
      </c>
      <c r="V293" s="111"/>
      <c r="W293" s="111"/>
      <c r="X293" s="110"/>
    </row>
    <row r="294" spans="1:25" ht="39" customHeight="1" x14ac:dyDescent="0.25">
      <c r="A294" s="30" t="s">
        <v>913</v>
      </c>
      <c r="B294" s="279" t="s">
        <v>634</v>
      </c>
      <c r="C294" s="48" t="s">
        <v>1294</v>
      </c>
      <c r="D294" s="12" t="s">
        <v>1443</v>
      </c>
      <c r="E294" s="12" t="s">
        <v>1588</v>
      </c>
      <c r="F294" s="12" t="s">
        <v>1455</v>
      </c>
      <c r="G294" s="12" t="s">
        <v>816</v>
      </c>
      <c r="H294" s="12" t="s">
        <v>1592</v>
      </c>
      <c r="I294" s="12"/>
      <c r="J294" s="12"/>
      <c r="K294" s="199">
        <f t="shared" si="72"/>
        <v>3226000</v>
      </c>
      <c r="L294" s="212">
        <v>337000</v>
      </c>
      <c r="M294" s="212">
        <v>2824000</v>
      </c>
      <c r="N294" s="212">
        <v>0</v>
      </c>
      <c r="O294" s="223">
        <v>65000</v>
      </c>
      <c r="P294" s="212">
        <v>0</v>
      </c>
      <c r="Q294" s="199">
        <v>0</v>
      </c>
      <c r="R294" s="188" t="s">
        <v>807</v>
      </c>
      <c r="S294" s="214" t="s">
        <v>807</v>
      </c>
      <c r="T294" s="214" t="s">
        <v>1333</v>
      </c>
      <c r="U294" s="214">
        <v>2020</v>
      </c>
      <c r="V294" s="111"/>
      <c r="W294" s="111"/>
      <c r="X294" s="110"/>
    </row>
    <row r="295" spans="1:25" ht="39" customHeight="1" x14ac:dyDescent="0.25">
      <c r="A295" s="30" t="s">
        <v>914</v>
      </c>
      <c r="B295" s="279" t="s">
        <v>635</v>
      </c>
      <c r="C295" s="30" t="s">
        <v>91</v>
      </c>
      <c r="D295" s="11" t="s">
        <v>864</v>
      </c>
      <c r="E295" s="11" t="s">
        <v>1588</v>
      </c>
      <c r="F295" s="11" t="s">
        <v>1400</v>
      </c>
      <c r="G295" s="14" t="s">
        <v>1414</v>
      </c>
      <c r="H295" s="22" t="s">
        <v>1592</v>
      </c>
      <c r="I295" s="11" t="s">
        <v>858</v>
      </c>
      <c r="J295" s="11"/>
      <c r="K295" s="199">
        <f t="shared" si="72"/>
        <v>4923369</v>
      </c>
      <c r="L295" s="204">
        <v>0</v>
      </c>
      <c r="M295" s="204">
        <v>738505</v>
      </c>
      <c r="N295" s="204">
        <v>0</v>
      </c>
      <c r="O295" s="204">
        <v>0</v>
      </c>
      <c r="P295" s="204">
        <v>4184864</v>
      </c>
      <c r="Q295" s="199">
        <v>0</v>
      </c>
      <c r="R295" s="188" t="s">
        <v>1317</v>
      </c>
      <c r="S295" s="188" t="s">
        <v>1320</v>
      </c>
      <c r="T295" s="188" t="s">
        <v>1328</v>
      </c>
      <c r="U295" s="188">
        <v>2019</v>
      </c>
      <c r="V295" s="111"/>
      <c r="W295" s="111"/>
      <c r="X295" s="110"/>
    </row>
    <row r="296" spans="1:25" ht="39" customHeight="1" x14ac:dyDescent="0.25">
      <c r="A296" s="30" t="s">
        <v>915</v>
      </c>
      <c r="B296" s="279" t="s">
        <v>636</v>
      </c>
      <c r="C296" s="30" t="s">
        <v>130</v>
      </c>
      <c r="D296" s="11" t="s">
        <v>865</v>
      </c>
      <c r="E296" s="11" t="s">
        <v>1588</v>
      </c>
      <c r="F296" s="11" t="s">
        <v>1400</v>
      </c>
      <c r="G296" s="14" t="s">
        <v>1414</v>
      </c>
      <c r="H296" s="22" t="s">
        <v>1592</v>
      </c>
      <c r="I296" s="11" t="s">
        <v>858</v>
      </c>
      <c r="J296" s="11"/>
      <c r="K296" s="199">
        <f t="shared" si="72"/>
        <v>4997700</v>
      </c>
      <c r="L296" s="204">
        <v>0</v>
      </c>
      <c r="M296" s="204">
        <v>749700</v>
      </c>
      <c r="N296" s="204">
        <v>0</v>
      </c>
      <c r="O296" s="204">
        <v>0</v>
      </c>
      <c r="P296" s="204">
        <v>4248000</v>
      </c>
      <c r="Q296" s="199">
        <v>0</v>
      </c>
      <c r="R296" s="188" t="s">
        <v>1319</v>
      </c>
      <c r="S296" s="188" t="s">
        <v>1321</v>
      </c>
      <c r="T296" s="188" t="s">
        <v>1345</v>
      </c>
      <c r="U296" s="188">
        <v>2019</v>
      </c>
      <c r="V296" s="111"/>
      <c r="W296" s="111"/>
      <c r="X296" s="110"/>
    </row>
    <row r="297" spans="1:25" ht="39" customHeight="1" x14ac:dyDescent="0.25">
      <c r="A297" s="30" t="s">
        <v>916</v>
      </c>
      <c r="B297" s="279" t="s">
        <v>637</v>
      </c>
      <c r="C297" s="30" t="s">
        <v>92</v>
      </c>
      <c r="D297" s="11" t="s">
        <v>866</v>
      </c>
      <c r="E297" s="11" t="s">
        <v>1588</v>
      </c>
      <c r="F297" s="11" t="s">
        <v>1400</v>
      </c>
      <c r="G297" s="14" t="s">
        <v>1414</v>
      </c>
      <c r="H297" s="22" t="s">
        <v>1592</v>
      </c>
      <c r="I297" s="11" t="s">
        <v>858</v>
      </c>
      <c r="J297" s="11"/>
      <c r="K297" s="199">
        <f t="shared" si="72"/>
        <v>1543778.24</v>
      </c>
      <c r="L297" s="204">
        <v>0</v>
      </c>
      <c r="M297" s="204">
        <v>231566.74</v>
      </c>
      <c r="N297" s="204">
        <v>0</v>
      </c>
      <c r="O297" s="204">
        <v>0</v>
      </c>
      <c r="P297" s="204">
        <v>1312211.5</v>
      </c>
      <c r="Q297" s="199">
        <v>0</v>
      </c>
      <c r="R297" s="188" t="s">
        <v>1333</v>
      </c>
      <c r="S297" s="188" t="s">
        <v>1329</v>
      </c>
      <c r="T297" s="188" t="s">
        <v>1342</v>
      </c>
      <c r="U297" s="188">
        <v>2018</v>
      </c>
      <c r="V297" s="111"/>
      <c r="W297" s="111"/>
      <c r="X297" s="110"/>
    </row>
    <row r="298" spans="1:25" ht="39" customHeight="1" x14ac:dyDescent="0.25">
      <c r="A298" s="30" t="s">
        <v>917</v>
      </c>
      <c r="B298" s="279" t="s">
        <v>638</v>
      </c>
      <c r="C298" s="30" t="s">
        <v>867</v>
      </c>
      <c r="D298" s="11" t="s">
        <v>868</v>
      </c>
      <c r="E298" s="11" t="s">
        <v>1588</v>
      </c>
      <c r="F298" s="11" t="s">
        <v>1400</v>
      </c>
      <c r="G298" s="14" t="s">
        <v>1414</v>
      </c>
      <c r="H298" s="22" t="s">
        <v>1592</v>
      </c>
      <c r="I298" s="11" t="s">
        <v>858</v>
      </c>
      <c r="J298" s="11"/>
      <c r="K298" s="199">
        <f t="shared" si="72"/>
        <v>4982000</v>
      </c>
      <c r="L298" s="204">
        <v>0</v>
      </c>
      <c r="M298" s="204">
        <v>747300</v>
      </c>
      <c r="N298" s="204">
        <v>0</v>
      </c>
      <c r="O298" s="204">
        <v>0</v>
      </c>
      <c r="P298" s="204">
        <v>4234700</v>
      </c>
      <c r="Q298" s="199">
        <v>0</v>
      </c>
      <c r="R298" s="188" t="s">
        <v>1317</v>
      </c>
      <c r="S298" s="188" t="s">
        <v>1343</v>
      </c>
      <c r="T298" s="188" t="s">
        <v>1318</v>
      </c>
      <c r="U298" s="188">
        <v>2020</v>
      </c>
      <c r="V298" s="111"/>
      <c r="W298" s="111"/>
      <c r="X298" s="110"/>
    </row>
    <row r="299" spans="1:25" ht="39" customHeight="1" x14ac:dyDescent="0.25">
      <c r="A299" s="428" t="s">
        <v>1743</v>
      </c>
      <c r="B299" s="436"/>
      <c r="C299" s="428" t="s">
        <v>1771</v>
      </c>
      <c r="D299" s="436"/>
      <c r="E299" s="436"/>
      <c r="F299" s="436"/>
      <c r="G299" s="436"/>
      <c r="H299" s="436"/>
      <c r="I299" s="436"/>
      <c r="J299" s="436"/>
      <c r="K299" s="441">
        <v>0</v>
      </c>
      <c r="L299" s="441">
        <v>0</v>
      </c>
      <c r="M299" s="441">
        <v>0</v>
      </c>
      <c r="N299" s="441">
        <v>0</v>
      </c>
      <c r="O299" s="441">
        <v>0</v>
      </c>
      <c r="P299" s="441">
        <v>0</v>
      </c>
      <c r="Q299" s="441">
        <v>0</v>
      </c>
      <c r="R299" s="435"/>
      <c r="S299" s="435"/>
      <c r="T299" s="435"/>
      <c r="U299" s="435"/>
      <c r="V299" s="110"/>
      <c r="W299" s="110"/>
      <c r="X299" s="110"/>
    </row>
    <row r="300" spans="1:25" ht="58.5" customHeight="1" x14ac:dyDescent="0.25">
      <c r="A300" s="428" t="s">
        <v>1744</v>
      </c>
      <c r="B300" s="436"/>
      <c r="C300" s="428" t="s">
        <v>1772</v>
      </c>
      <c r="D300" s="436"/>
      <c r="E300" s="436"/>
      <c r="F300" s="436"/>
      <c r="G300" s="436"/>
      <c r="H300" s="436"/>
      <c r="I300" s="436"/>
      <c r="J300" s="436"/>
      <c r="K300" s="441">
        <v>0</v>
      </c>
      <c r="L300" s="441">
        <v>0</v>
      </c>
      <c r="M300" s="441">
        <v>0</v>
      </c>
      <c r="N300" s="441">
        <v>0</v>
      </c>
      <c r="O300" s="441">
        <v>0</v>
      </c>
      <c r="P300" s="441">
        <v>0</v>
      </c>
      <c r="Q300" s="441">
        <v>0</v>
      </c>
      <c r="R300" s="435"/>
      <c r="S300" s="435"/>
      <c r="T300" s="435"/>
      <c r="U300" s="435"/>
      <c r="V300" s="110"/>
      <c r="W300" s="110"/>
      <c r="X300" s="110"/>
    </row>
    <row r="301" spans="1:25" ht="39" customHeight="1" x14ac:dyDescent="0.25">
      <c r="A301" s="428" t="s">
        <v>1745</v>
      </c>
      <c r="B301" s="436"/>
      <c r="C301" s="428" t="s">
        <v>1773</v>
      </c>
      <c r="D301" s="436"/>
      <c r="E301" s="436"/>
      <c r="F301" s="436"/>
      <c r="G301" s="436"/>
      <c r="H301" s="436"/>
      <c r="I301" s="436"/>
      <c r="J301" s="436"/>
      <c r="K301" s="433">
        <f t="shared" ref="K301:Q301" si="73">SUM(K302:K303)</f>
        <v>7207533.4199999999</v>
      </c>
      <c r="L301" s="433">
        <f t="shared" si="73"/>
        <v>308164.31</v>
      </c>
      <c r="M301" s="433">
        <f t="shared" si="73"/>
        <v>0</v>
      </c>
      <c r="N301" s="433">
        <f t="shared" si="73"/>
        <v>726402.14</v>
      </c>
      <c r="O301" s="433">
        <f t="shared" si="73"/>
        <v>0</v>
      </c>
      <c r="P301" s="433">
        <f t="shared" si="73"/>
        <v>6172966.9699999997</v>
      </c>
      <c r="Q301" s="433">
        <f t="shared" si="73"/>
        <v>0</v>
      </c>
      <c r="R301" s="435"/>
      <c r="S301" s="435"/>
      <c r="T301" s="435"/>
      <c r="U301" s="435"/>
      <c r="V301" s="110"/>
      <c r="W301" s="110"/>
      <c r="X301" s="110"/>
    </row>
    <row r="302" spans="1:25" ht="39" customHeight="1" x14ac:dyDescent="0.25">
      <c r="A302" s="30" t="s">
        <v>808</v>
      </c>
      <c r="B302" s="279" t="s">
        <v>639</v>
      </c>
      <c r="C302" s="30" t="s">
        <v>1340</v>
      </c>
      <c r="D302" s="47" t="s">
        <v>812</v>
      </c>
      <c r="E302" s="47" t="s">
        <v>776</v>
      </c>
      <c r="F302" s="47" t="s">
        <v>1454</v>
      </c>
      <c r="G302" s="47" t="s">
        <v>47</v>
      </c>
      <c r="H302" s="47" t="s">
        <v>1586</v>
      </c>
      <c r="I302" s="47"/>
      <c r="J302" s="47"/>
      <c r="K302" s="353">
        <f>L302+M302+N302+O302+P302</f>
        <v>3098675.9</v>
      </c>
      <c r="L302" s="353">
        <v>0</v>
      </c>
      <c r="M302" s="142">
        <v>0</v>
      </c>
      <c r="N302" s="142">
        <v>418237.83</v>
      </c>
      <c r="O302" s="142">
        <v>0</v>
      </c>
      <c r="P302" s="353">
        <v>2680438.0699999998</v>
      </c>
      <c r="Q302" s="142">
        <v>0</v>
      </c>
      <c r="R302" s="192" t="s">
        <v>1186</v>
      </c>
      <c r="S302" s="209" t="s">
        <v>1320</v>
      </c>
      <c r="T302" s="209" t="s">
        <v>1328</v>
      </c>
      <c r="U302" s="209">
        <v>2019</v>
      </c>
      <c r="V302" s="110"/>
      <c r="W302" s="110"/>
      <c r="X302" s="110"/>
    </row>
    <row r="303" spans="1:25" ht="39" customHeight="1" x14ac:dyDescent="0.25">
      <c r="A303" s="23" t="s">
        <v>8</v>
      </c>
      <c r="B303" s="279" t="s">
        <v>640</v>
      </c>
      <c r="C303" s="23" t="s">
        <v>9</v>
      </c>
      <c r="D303" s="11" t="s">
        <v>10</v>
      </c>
      <c r="E303" s="11" t="s">
        <v>776</v>
      </c>
      <c r="F303" s="11" t="s">
        <v>1441</v>
      </c>
      <c r="G303" s="47" t="s">
        <v>47</v>
      </c>
      <c r="H303" s="11" t="s">
        <v>1586</v>
      </c>
      <c r="I303" s="11"/>
      <c r="J303" s="11"/>
      <c r="K303" s="353">
        <f>L303+M303+N303+O303+P303</f>
        <v>4108857.52</v>
      </c>
      <c r="L303" s="332">
        <v>308164.31</v>
      </c>
      <c r="M303" s="333">
        <v>0</v>
      </c>
      <c r="N303" s="333">
        <v>308164.31</v>
      </c>
      <c r="O303" s="333">
        <v>0</v>
      </c>
      <c r="P303" s="332">
        <v>3492528.9</v>
      </c>
      <c r="Q303" s="142">
        <v>0</v>
      </c>
      <c r="R303" s="192" t="s">
        <v>1186</v>
      </c>
      <c r="S303" s="188" t="s">
        <v>1317</v>
      </c>
      <c r="T303" s="188" t="s">
        <v>1319</v>
      </c>
      <c r="U303" s="188">
        <v>2020</v>
      </c>
      <c r="V303" s="110"/>
      <c r="W303" s="110"/>
      <c r="X303" s="110"/>
    </row>
    <row r="304" spans="1:25" ht="39" customHeight="1" x14ac:dyDescent="0.25">
      <c r="A304" s="428" t="s">
        <v>1746</v>
      </c>
      <c r="B304" s="436"/>
      <c r="C304" s="428" t="s">
        <v>1774</v>
      </c>
      <c r="D304" s="436"/>
      <c r="E304" s="436"/>
      <c r="F304" s="436"/>
      <c r="G304" s="436"/>
      <c r="H304" s="436"/>
      <c r="I304" s="436"/>
      <c r="J304" s="436"/>
      <c r="K304" s="433">
        <f t="shared" ref="K304:Q304" si="74">SUM(K305:K313)</f>
        <v>18268644.289999999</v>
      </c>
      <c r="L304" s="433">
        <f t="shared" si="74"/>
        <v>568083.77</v>
      </c>
      <c r="M304" s="433">
        <f t="shared" si="74"/>
        <v>524637.39999999991</v>
      </c>
      <c r="N304" s="433">
        <f t="shared" si="74"/>
        <v>2249081.4500000002</v>
      </c>
      <c r="O304" s="433">
        <f t="shared" si="74"/>
        <v>0</v>
      </c>
      <c r="P304" s="433">
        <f t="shared" si="74"/>
        <v>14926841.67</v>
      </c>
      <c r="Q304" s="433">
        <f t="shared" si="74"/>
        <v>0</v>
      </c>
      <c r="R304" s="435"/>
      <c r="S304" s="435"/>
      <c r="T304" s="435"/>
      <c r="U304" s="435"/>
      <c r="V304" s="110"/>
      <c r="W304" s="110"/>
      <c r="X304" s="110"/>
    </row>
    <row r="305" spans="1:24" ht="39" customHeight="1" x14ac:dyDescent="0.25">
      <c r="A305" s="30" t="s">
        <v>829</v>
      </c>
      <c r="B305" s="279" t="s">
        <v>641</v>
      </c>
      <c r="C305" s="30" t="s">
        <v>810</v>
      </c>
      <c r="D305" s="47" t="s">
        <v>1587</v>
      </c>
      <c r="E305" s="47" t="s">
        <v>1585</v>
      </c>
      <c r="F305" s="33" t="s">
        <v>1454</v>
      </c>
      <c r="G305" s="33" t="s">
        <v>1242</v>
      </c>
      <c r="H305" s="33" t="s">
        <v>1586</v>
      </c>
      <c r="I305" s="33"/>
      <c r="J305" s="33"/>
      <c r="K305" s="199">
        <f>L305+M305+P305+O305+N305</f>
        <v>801160.35000000009</v>
      </c>
      <c r="L305" s="199">
        <v>60087.03</v>
      </c>
      <c r="M305" s="199">
        <v>60087.02</v>
      </c>
      <c r="N305" s="138">
        <v>0</v>
      </c>
      <c r="O305" s="138">
        <v>0</v>
      </c>
      <c r="P305" s="199">
        <v>680986.3</v>
      </c>
      <c r="Q305" s="142">
        <v>0</v>
      </c>
      <c r="R305" s="195" t="s">
        <v>1344</v>
      </c>
      <c r="S305" s="217" t="s">
        <v>1323</v>
      </c>
      <c r="T305" s="217" t="s">
        <v>1325</v>
      </c>
      <c r="U305" s="217">
        <v>2019</v>
      </c>
      <c r="V305" s="110"/>
      <c r="W305" s="110"/>
      <c r="X305" s="110"/>
    </row>
    <row r="306" spans="1:24" ht="39" customHeight="1" x14ac:dyDescent="0.25">
      <c r="A306" s="30" t="s">
        <v>809</v>
      </c>
      <c r="B306" s="279" t="s">
        <v>642</v>
      </c>
      <c r="C306" s="36" t="s">
        <v>830</v>
      </c>
      <c r="D306" s="13" t="s">
        <v>1443</v>
      </c>
      <c r="E306" s="15" t="s">
        <v>1585</v>
      </c>
      <c r="F306" s="15" t="s">
        <v>1455</v>
      </c>
      <c r="G306" s="10" t="s">
        <v>1242</v>
      </c>
      <c r="H306" s="37" t="s">
        <v>1586</v>
      </c>
      <c r="I306" s="15"/>
      <c r="J306" s="15"/>
      <c r="K306" s="199">
        <f t="shared" ref="K306:K313" si="75">L306+M306+P306+O306+N306</f>
        <v>933005.49</v>
      </c>
      <c r="L306" s="212">
        <v>109590.69</v>
      </c>
      <c r="M306" s="212">
        <v>66763.360000000001</v>
      </c>
      <c r="N306" s="222">
        <v>0</v>
      </c>
      <c r="O306" s="222">
        <v>0</v>
      </c>
      <c r="P306" s="222">
        <v>756651.44</v>
      </c>
      <c r="Q306" s="142">
        <v>0</v>
      </c>
      <c r="R306" s="236" t="s">
        <v>1330</v>
      </c>
      <c r="S306" s="214" t="s">
        <v>66</v>
      </c>
      <c r="T306" s="214" t="s">
        <v>1326</v>
      </c>
      <c r="U306" s="233">
        <v>2020</v>
      </c>
      <c r="V306" s="111"/>
      <c r="W306" s="111"/>
      <c r="X306" s="110"/>
    </row>
    <row r="307" spans="1:24" ht="39" customHeight="1" x14ac:dyDescent="0.25">
      <c r="A307" s="30" t="s">
        <v>918</v>
      </c>
      <c r="B307" s="279" t="s">
        <v>643</v>
      </c>
      <c r="C307" s="36" t="s">
        <v>831</v>
      </c>
      <c r="D307" s="13" t="s">
        <v>1443</v>
      </c>
      <c r="E307" s="15" t="s">
        <v>1585</v>
      </c>
      <c r="F307" s="15" t="s">
        <v>1455</v>
      </c>
      <c r="G307" s="10" t="s">
        <v>1242</v>
      </c>
      <c r="H307" s="37" t="s">
        <v>1586</v>
      </c>
      <c r="I307" s="15"/>
      <c r="J307" s="15"/>
      <c r="K307" s="199">
        <f t="shared" si="75"/>
        <v>890178.15999999992</v>
      </c>
      <c r="L307" s="212">
        <v>66763.360000000001</v>
      </c>
      <c r="M307" s="212">
        <v>66763.360000000001</v>
      </c>
      <c r="N307" s="222">
        <v>0</v>
      </c>
      <c r="O307" s="222">
        <v>0</v>
      </c>
      <c r="P307" s="222">
        <v>756651.44</v>
      </c>
      <c r="Q307" s="142">
        <v>0</v>
      </c>
      <c r="R307" s="236" t="s">
        <v>1318</v>
      </c>
      <c r="S307" s="214" t="s">
        <v>1322</v>
      </c>
      <c r="T307" s="214" t="s">
        <v>1406</v>
      </c>
      <c r="U307" s="233">
        <v>2019</v>
      </c>
      <c r="V307" s="111"/>
      <c r="W307" s="111"/>
      <c r="X307" s="110"/>
    </row>
    <row r="308" spans="1:24" ht="39" customHeight="1" x14ac:dyDescent="0.25">
      <c r="A308" s="30" t="s">
        <v>919</v>
      </c>
      <c r="B308" s="279" t="s">
        <v>644</v>
      </c>
      <c r="C308" s="348" t="s">
        <v>1331</v>
      </c>
      <c r="D308" s="329" t="s">
        <v>1202</v>
      </c>
      <c r="E308" s="329" t="s">
        <v>776</v>
      </c>
      <c r="F308" s="329" t="s">
        <v>1400</v>
      </c>
      <c r="G308" s="341" t="s">
        <v>47</v>
      </c>
      <c r="H308" s="331" t="s">
        <v>1586</v>
      </c>
      <c r="I308" s="329" t="s">
        <v>858</v>
      </c>
      <c r="J308" s="329"/>
      <c r="K308" s="199">
        <f t="shared" si="75"/>
        <v>11230028.66</v>
      </c>
      <c r="L308" s="342">
        <v>0</v>
      </c>
      <c r="M308" s="342">
        <v>0</v>
      </c>
      <c r="N308" s="342">
        <v>2249081.4500000002</v>
      </c>
      <c r="O308" s="356">
        <v>0</v>
      </c>
      <c r="P308" s="342">
        <v>8980947.2100000009</v>
      </c>
      <c r="Q308" s="142">
        <v>0</v>
      </c>
      <c r="R308" s="188" t="s">
        <v>1186</v>
      </c>
      <c r="S308" s="188" t="s">
        <v>1320</v>
      </c>
      <c r="T308" s="188" t="s">
        <v>1318</v>
      </c>
      <c r="U308" s="188">
        <v>2019</v>
      </c>
      <c r="V308" s="111"/>
      <c r="W308" s="111"/>
      <c r="X308" s="110"/>
    </row>
    <row r="309" spans="1:24" ht="39" customHeight="1" x14ac:dyDescent="0.25">
      <c r="A309" s="30" t="s">
        <v>920</v>
      </c>
      <c r="B309" s="279" t="s">
        <v>645</v>
      </c>
      <c r="C309" s="23" t="s">
        <v>344</v>
      </c>
      <c r="D309" s="11" t="s">
        <v>1590</v>
      </c>
      <c r="E309" s="11" t="s">
        <v>1585</v>
      </c>
      <c r="F309" s="11" t="s">
        <v>1446</v>
      </c>
      <c r="G309" s="93" t="s">
        <v>1242</v>
      </c>
      <c r="H309" s="237" t="s">
        <v>1586</v>
      </c>
      <c r="I309" s="11"/>
      <c r="J309" s="11"/>
      <c r="K309" s="199">
        <f t="shared" si="75"/>
        <v>890178.12</v>
      </c>
      <c r="L309" s="186">
        <v>66763.360000000001</v>
      </c>
      <c r="M309" s="186">
        <v>66763.360000000001</v>
      </c>
      <c r="N309" s="199">
        <v>0</v>
      </c>
      <c r="O309" s="199">
        <v>0</v>
      </c>
      <c r="P309" s="186">
        <v>756651.4</v>
      </c>
      <c r="Q309" s="142">
        <v>0</v>
      </c>
      <c r="R309" s="187" t="s">
        <v>803</v>
      </c>
      <c r="S309" s="187" t="s">
        <v>1316</v>
      </c>
      <c r="T309" s="187" t="s">
        <v>1330</v>
      </c>
      <c r="U309" s="187">
        <v>2020</v>
      </c>
      <c r="V309" s="111"/>
      <c r="W309" s="111"/>
      <c r="X309" s="110"/>
    </row>
    <row r="310" spans="1:24" ht="39" customHeight="1" x14ac:dyDescent="0.25">
      <c r="A310" s="30" t="s">
        <v>1142</v>
      </c>
      <c r="B310" s="279" t="s">
        <v>646</v>
      </c>
      <c r="C310" s="328" t="s">
        <v>410</v>
      </c>
      <c r="D310" s="329" t="s">
        <v>1590</v>
      </c>
      <c r="E310" s="357" t="s">
        <v>1585</v>
      </c>
      <c r="F310" s="357" t="s">
        <v>1446</v>
      </c>
      <c r="G310" s="357" t="s">
        <v>1242</v>
      </c>
      <c r="H310" s="358" t="s">
        <v>1586</v>
      </c>
      <c r="I310" s="329"/>
      <c r="J310" s="329"/>
      <c r="K310" s="199">
        <f t="shared" si="75"/>
        <v>890797.15999999992</v>
      </c>
      <c r="L310" s="186">
        <v>67382.36</v>
      </c>
      <c r="M310" s="186">
        <v>66763.360000000001</v>
      </c>
      <c r="N310" s="199">
        <v>0</v>
      </c>
      <c r="O310" s="199">
        <v>0</v>
      </c>
      <c r="P310" s="186">
        <v>756651.44</v>
      </c>
      <c r="Q310" s="200">
        <v>0</v>
      </c>
      <c r="R310" s="188" t="s">
        <v>1330</v>
      </c>
      <c r="S310" s="188" t="s">
        <v>66</v>
      </c>
      <c r="T310" s="188" t="s">
        <v>38</v>
      </c>
      <c r="U310" s="209">
        <v>2020</v>
      </c>
      <c r="V310" s="111"/>
      <c r="W310" s="111"/>
      <c r="X310" s="110"/>
    </row>
    <row r="311" spans="1:24" ht="39" customHeight="1" x14ac:dyDescent="0.25">
      <c r="A311" s="30" t="s">
        <v>1143</v>
      </c>
      <c r="B311" s="279" t="s">
        <v>647</v>
      </c>
      <c r="C311" s="30" t="s">
        <v>26</v>
      </c>
      <c r="D311" s="11" t="s">
        <v>1580</v>
      </c>
      <c r="E311" s="93" t="s">
        <v>1585</v>
      </c>
      <c r="F311" s="93" t="s">
        <v>1456</v>
      </c>
      <c r="G311" s="93" t="s">
        <v>1242</v>
      </c>
      <c r="H311" s="237" t="s">
        <v>1586</v>
      </c>
      <c r="I311" s="11"/>
      <c r="J311" s="11"/>
      <c r="K311" s="199">
        <f t="shared" si="75"/>
        <v>890178.16999999993</v>
      </c>
      <c r="L311" s="186">
        <v>66763.37</v>
      </c>
      <c r="M311" s="186">
        <v>66763.360000000001</v>
      </c>
      <c r="N311" s="199">
        <v>0</v>
      </c>
      <c r="O311" s="199">
        <v>0</v>
      </c>
      <c r="P311" s="186">
        <v>756651.44</v>
      </c>
      <c r="Q311" s="142">
        <v>0</v>
      </c>
      <c r="R311" s="188" t="s">
        <v>1330</v>
      </c>
      <c r="S311" s="188" t="s">
        <v>66</v>
      </c>
      <c r="T311" s="188" t="s">
        <v>1326</v>
      </c>
      <c r="U311" s="188">
        <v>2021</v>
      </c>
      <c r="V311" s="111"/>
      <c r="W311" s="111"/>
      <c r="X311" s="110"/>
    </row>
    <row r="312" spans="1:24" ht="39" customHeight="1" x14ac:dyDescent="0.25">
      <c r="A312" s="30" t="s">
        <v>25</v>
      </c>
      <c r="B312" s="279" t="s">
        <v>648</v>
      </c>
      <c r="C312" s="30" t="s">
        <v>28</v>
      </c>
      <c r="D312" s="11" t="s">
        <v>1580</v>
      </c>
      <c r="E312" s="93" t="s">
        <v>1585</v>
      </c>
      <c r="F312" s="93" t="s">
        <v>1456</v>
      </c>
      <c r="G312" s="93" t="s">
        <v>1242</v>
      </c>
      <c r="H312" s="237" t="s">
        <v>1586</v>
      </c>
      <c r="I312" s="11"/>
      <c r="J312" s="11" t="s">
        <v>797</v>
      </c>
      <c r="K312" s="199">
        <f t="shared" si="75"/>
        <v>852941.17999999993</v>
      </c>
      <c r="L312" s="186">
        <v>63970.6</v>
      </c>
      <c r="M312" s="186">
        <v>63970.58</v>
      </c>
      <c r="N312" s="199">
        <v>0</v>
      </c>
      <c r="O312" s="199">
        <v>0</v>
      </c>
      <c r="P312" s="186">
        <v>725000</v>
      </c>
      <c r="Q312" s="142">
        <v>0</v>
      </c>
      <c r="R312" s="188" t="s">
        <v>108</v>
      </c>
      <c r="S312" s="188" t="s">
        <v>109</v>
      </c>
      <c r="T312" s="188" t="s">
        <v>110</v>
      </c>
      <c r="U312" s="188">
        <v>2022</v>
      </c>
      <c r="V312" s="111"/>
      <c r="W312" s="111"/>
      <c r="X312" s="110"/>
    </row>
    <row r="313" spans="1:24" ht="39" customHeight="1" x14ac:dyDescent="0.25">
      <c r="A313" s="30" t="s">
        <v>346</v>
      </c>
      <c r="B313" s="279" t="s">
        <v>649</v>
      </c>
      <c r="C313" s="30" t="s">
        <v>347</v>
      </c>
      <c r="D313" s="11" t="s">
        <v>1584</v>
      </c>
      <c r="E313" s="93" t="s">
        <v>1585</v>
      </c>
      <c r="F313" s="93" t="s">
        <v>1436</v>
      </c>
      <c r="G313" s="93" t="s">
        <v>1242</v>
      </c>
      <c r="H313" s="237" t="s">
        <v>1586</v>
      </c>
      <c r="I313" s="11"/>
      <c r="J313" s="11"/>
      <c r="K313" s="199">
        <f t="shared" si="75"/>
        <v>890177</v>
      </c>
      <c r="L313" s="186">
        <v>66763</v>
      </c>
      <c r="M313" s="186">
        <v>66763</v>
      </c>
      <c r="N313" s="199">
        <v>0</v>
      </c>
      <c r="O313" s="199">
        <v>0</v>
      </c>
      <c r="P313" s="186">
        <v>756651</v>
      </c>
      <c r="Q313" s="142">
        <v>0</v>
      </c>
      <c r="R313" s="188" t="s">
        <v>1406</v>
      </c>
      <c r="S313" s="188" t="s">
        <v>1325</v>
      </c>
      <c r="T313" s="188" t="s">
        <v>1324</v>
      </c>
      <c r="U313" s="188">
        <v>2020</v>
      </c>
      <c r="V313" s="111"/>
      <c r="W313" s="111"/>
      <c r="X313" s="110"/>
    </row>
    <row r="314" spans="1:24" ht="39" customHeight="1" x14ac:dyDescent="0.25">
      <c r="A314" s="428" t="s">
        <v>1239</v>
      </c>
      <c r="B314" s="442"/>
      <c r="C314" s="428" t="s">
        <v>1775</v>
      </c>
      <c r="D314" s="442"/>
      <c r="E314" s="443"/>
      <c r="F314" s="443"/>
      <c r="G314" s="443"/>
      <c r="H314" s="444"/>
      <c r="I314" s="442"/>
      <c r="J314" s="442"/>
      <c r="K314" s="433">
        <v>0</v>
      </c>
      <c r="L314" s="433">
        <v>0</v>
      </c>
      <c r="M314" s="433">
        <v>0</v>
      </c>
      <c r="N314" s="433">
        <v>0</v>
      </c>
      <c r="O314" s="433">
        <v>0</v>
      </c>
      <c r="P314" s="433">
        <v>0</v>
      </c>
      <c r="Q314" s="433">
        <v>0</v>
      </c>
      <c r="R314" s="445"/>
      <c r="S314" s="445"/>
      <c r="T314" s="445"/>
      <c r="U314" s="445"/>
      <c r="V314" s="110"/>
      <c r="W314" s="110"/>
      <c r="X314" s="110"/>
    </row>
    <row r="315" spans="1:24" ht="39" customHeight="1" x14ac:dyDescent="0.25">
      <c r="A315" s="415" t="s">
        <v>1650</v>
      </c>
      <c r="B315" s="392"/>
      <c r="C315" s="415" t="s">
        <v>389</v>
      </c>
      <c r="D315" s="392"/>
      <c r="E315" s="392"/>
      <c r="F315" s="392"/>
      <c r="G315" s="392"/>
      <c r="H315" s="392"/>
      <c r="I315" s="392"/>
      <c r="J315" s="392"/>
      <c r="K315" s="416">
        <f t="shared" ref="K315:Q315" si="76">K316+K318+K319+K320</f>
        <v>1500000</v>
      </c>
      <c r="L315" s="416">
        <f t="shared" si="76"/>
        <v>112500</v>
      </c>
      <c r="M315" s="416">
        <f t="shared" si="76"/>
        <v>112500</v>
      </c>
      <c r="N315" s="416">
        <f t="shared" si="76"/>
        <v>0</v>
      </c>
      <c r="O315" s="416">
        <f t="shared" si="76"/>
        <v>0</v>
      </c>
      <c r="P315" s="416">
        <f t="shared" si="76"/>
        <v>1275000</v>
      </c>
      <c r="Q315" s="416">
        <f t="shared" si="76"/>
        <v>0</v>
      </c>
      <c r="R315" s="419"/>
      <c r="S315" s="419"/>
      <c r="T315" s="419"/>
      <c r="U315" s="419"/>
      <c r="V315" s="110"/>
      <c r="W315" s="110"/>
      <c r="X315" s="110"/>
    </row>
    <row r="316" spans="1:24" ht="39" customHeight="1" x14ac:dyDescent="0.25">
      <c r="A316" s="428" t="s">
        <v>1776</v>
      </c>
      <c r="B316" s="436"/>
      <c r="C316" s="428" t="s">
        <v>1780</v>
      </c>
      <c r="D316" s="436"/>
      <c r="E316" s="436"/>
      <c r="F316" s="436"/>
      <c r="G316" s="436"/>
      <c r="H316" s="436"/>
      <c r="I316" s="436"/>
      <c r="J316" s="436"/>
      <c r="K316" s="433">
        <f t="shared" ref="K316:Q316" si="77">SUM(K317:K317)</f>
        <v>1500000</v>
      </c>
      <c r="L316" s="433">
        <f t="shared" si="77"/>
        <v>112500</v>
      </c>
      <c r="M316" s="433">
        <f t="shared" si="77"/>
        <v>112500</v>
      </c>
      <c r="N316" s="433">
        <f t="shared" si="77"/>
        <v>0</v>
      </c>
      <c r="O316" s="433">
        <f t="shared" si="77"/>
        <v>0</v>
      </c>
      <c r="P316" s="433">
        <f t="shared" si="77"/>
        <v>1275000</v>
      </c>
      <c r="Q316" s="433">
        <f t="shared" si="77"/>
        <v>0</v>
      </c>
      <c r="R316" s="435"/>
      <c r="S316" s="435"/>
      <c r="T316" s="435"/>
      <c r="U316" s="435"/>
      <c r="V316" s="110"/>
      <c r="W316" s="110"/>
      <c r="X316" s="110"/>
    </row>
    <row r="317" spans="1:24" ht="39" customHeight="1" x14ac:dyDescent="0.25">
      <c r="A317" s="49" t="s">
        <v>921</v>
      </c>
      <c r="B317" s="279" t="s">
        <v>650</v>
      </c>
      <c r="C317" s="23" t="s">
        <v>140</v>
      </c>
      <c r="D317" s="11" t="s">
        <v>850</v>
      </c>
      <c r="E317" s="11" t="s">
        <v>1585</v>
      </c>
      <c r="F317" s="11" t="s">
        <v>1400</v>
      </c>
      <c r="G317" s="90" t="s">
        <v>1401</v>
      </c>
      <c r="H317" s="22" t="s">
        <v>1586</v>
      </c>
      <c r="I317" s="11" t="s">
        <v>858</v>
      </c>
      <c r="J317" s="11"/>
      <c r="K317" s="190">
        <f>L317+M317+N317+O317+P317</f>
        <v>1500000</v>
      </c>
      <c r="L317" s="190">
        <v>112500</v>
      </c>
      <c r="M317" s="190">
        <v>112500</v>
      </c>
      <c r="N317" s="190">
        <v>0</v>
      </c>
      <c r="O317" s="190">
        <v>0</v>
      </c>
      <c r="P317" s="190">
        <v>1275000</v>
      </c>
      <c r="Q317" s="190">
        <v>0</v>
      </c>
      <c r="R317" s="188" t="s">
        <v>1324</v>
      </c>
      <c r="S317" s="188" t="s">
        <v>1346</v>
      </c>
      <c r="T317" s="188" t="s">
        <v>1327</v>
      </c>
      <c r="U317" s="188">
        <v>2019</v>
      </c>
      <c r="V317" s="110"/>
      <c r="W317" s="110"/>
      <c r="X317" s="110"/>
    </row>
    <row r="318" spans="1:24" ht="39" customHeight="1" x14ac:dyDescent="0.25">
      <c r="A318" s="428" t="s">
        <v>1777</v>
      </c>
      <c r="B318" s="436"/>
      <c r="C318" s="428" t="s">
        <v>1781</v>
      </c>
      <c r="D318" s="436"/>
      <c r="E318" s="436"/>
      <c r="F318" s="436"/>
      <c r="G318" s="436"/>
      <c r="H318" s="436"/>
      <c r="I318" s="436"/>
      <c r="J318" s="436"/>
      <c r="K318" s="433">
        <f>0</f>
        <v>0</v>
      </c>
      <c r="L318" s="433">
        <f>0</f>
        <v>0</v>
      </c>
      <c r="M318" s="433">
        <f>0</f>
        <v>0</v>
      </c>
      <c r="N318" s="433">
        <f>0</f>
        <v>0</v>
      </c>
      <c r="O318" s="433">
        <f>0</f>
        <v>0</v>
      </c>
      <c r="P318" s="433">
        <f>0</f>
        <v>0</v>
      </c>
      <c r="Q318" s="433">
        <f>0</f>
        <v>0</v>
      </c>
      <c r="R318" s="435"/>
      <c r="S318" s="435"/>
      <c r="T318" s="435"/>
      <c r="U318" s="435"/>
      <c r="V318" s="110"/>
      <c r="W318" s="110"/>
      <c r="X318" s="110"/>
    </row>
    <row r="319" spans="1:24" ht="39" customHeight="1" x14ac:dyDescent="0.25">
      <c r="A319" s="428" t="s">
        <v>1778</v>
      </c>
      <c r="B319" s="436"/>
      <c r="C319" s="428" t="s">
        <v>1782</v>
      </c>
      <c r="D319" s="436"/>
      <c r="E319" s="436"/>
      <c r="F319" s="436"/>
      <c r="G319" s="436"/>
      <c r="H319" s="436"/>
      <c r="I319" s="436"/>
      <c r="J319" s="436"/>
      <c r="K319" s="433">
        <v>0</v>
      </c>
      <c r="L319" s="433">
        <v>0</v>
      </c>
      <c r="M319" s="433">
        <v>0</v>
      </c>
      <c r="N319" s="433">
        <v>0</v>
      </c>
      <c r="O319" s="433">
        <v>0</v>
      </c>
      <c r="P319" s="433">
        <v>0</v>
      </c>
      <c r="Q319" s="433">
        <v>0</v>
      </c>
      <c r="R319" s="435"/>
      <c r="S319" s="435"/>
      <c r="T319" s="435"/>
      <c r="U319" s="435"/>
      <c r="V319" s="110"/>
      <c r="W319" s="110"/>
      <c r="X319" s="110"/>
    </row>
    <row r="320" spans="1:24" ht="39" customHeight="1" x14ac:dyDescent="0.25">
      <c r="A320" s="428" t="s">
        <v>1779</v>
      </c>
      <c r="B320" s="436"/>
      <c r="C320" s="428" t="s">
        <v>1783</v>
      </c>
      <c r="D320" s="436"/>
      <c r="E320" s="436"/>
      <c r="F320" s="436"/>
      <c r="G320" s="436"/>
      <c r="H320" s="436"/>
      <c r="I320" s="436"/>
      <c r="J320" s="436"/>
      <c r="K320" s="433">
        <v>0</v>
      </c>
      <c r="L320" s="433">
        <v>0</v>
      </c>
      <c r="M320" s="433">
        <v>0</v>
      </c>
      <c r="N320" s="433">
        <v>0</v>
      </c>
      <c r="O320" s="433">
        <v>0</v>
      </c>
      <c r="P320" s="433">
        <v>0</v>
      </c>
      <c r="Q320" s="433">
        <v>0</v>
      </c>
      <c r="R320" s="435"/>
      <c r="S320" s="435"/>
      <c r="T320" s="435"/>
      <c r="U320" s="435"/>
      <c r="V320" s="110"/>
      <c r="W320" s="110"/>
      <c r="X320" s="110"/>
    </row>
    <row r="321" spans="1:24" ht="39" customHeight="1" x14ac:dyDescent="0.25">
      <c r="A321" s="412" t="s">
        <v>1651</v>
      </c>
      <c r="B321" s="410"/>
      <c r="C321" s="404" t="s">
        <v>1654</v>
      </c>
      <c r="D321" s="410"/>
      <c r="E321" s="410"/>
      <c r="F321" s="410"/>
      <c r="G321" s="410"/>
      <c r="H321" s="410"/>
      <c r="I321" s="410"/>
      <c r="J321" s="410"/>
      <c r="K321" s="407">
        <f t="shared" ref="K321:Q321" si="78">K322+K388</f>
        <v>10657940.82</v>
      </c>
      <c r="L321" s="407">
        <f t="shared" si="78"/>
        <v>2850570.43</v>
      </c>
      <c r="M321" s="407">
        <f t="shared" si="78"/>
        <v>133526.72</v>
      </c>
      <c r="N321" s="407">
        <f t="shared" si="78"/>
        <v>191454.99</v>
      </c>
      <c r="O321" s="407">
        <f t="shared" si="78"/>
        <v>89014.36</v>
      </c>
      <c r="P321" s="407">
        <f t="shared" si="78"/>
        <v>7393374.3199999994</v>
      </c>
      <c r="Q321" s="407">
        <f t="shared" si="78"/>
        <v>0</v>
      </c>
      <c r="R321" s="409"/>
      <c r="S321" s="409"/>
      <c r="T321" s="409"/>
      <c r="U321" s="409"/>
      <c r="V321" s="110"/>
      <c r="W321" s="110"/>
      <c r="X321" s="110"/>
    </row>
    <row r="322" spans="1:24" ht="39" customHeight="1" x14ac:dyDescent="0.25">
      <c r="A322" s="415" t="s">
        <v>1655</v>
      </c>
      <c r="B322" s="392"/>
      <c r="C322" s="415" t="s">
        <v>1784</v>
      </c>
      <c r="D322" s="392"/>
      <c r="E322" s="392"/>
      <c r="F322" s="392"/>
      <c r="G322" s="392"/>
      <c r="H322" s="392"/>
      <c r="I322" s="392"/>
      <c r="J322" s="392"/>
      <c r="K322" s="416">
        <f t="shared" ref="K322:Q322" si="79">K323+K324+K386+K387</f>
        <v>10657940.82</v>
      </c>
      <c r="L322" s="416">
        <f t="shared" si="79"/>
        <v>2850570.43</v>
      </c>
      <c r="M322" s="416">
        <f t="shared" si="79"/>
        <v>133526.72</v>
      </c>
      <c r="N322" s="416">
        <f t="shared" si="79"/>
        <v>191454.99</v>
      </c>
      <c r="O322" s="416">
        <f t="shared" si="79"/>
        <v>89014.36</v>
      </c>
      <c r="P322" s="416">
        <f t="shared" si="79"/>
        <v>7393374.3199999994</v>
      </c>
      <c r="Q322" s="416">
        <f t="shared" si="79"/>
        <v>0</v>
      </c>
      <c r="R322" s="419"/>
      <c r="S322" s="419"/>
      <c r="T322" s="419"/>
      <c r="U322" s="419"/>
      <c r="V322" s="110"/>
      <c r="W322" s="110"/>
      <c r="X322" s="110"/>
    </row>
    <row r="323" spans="1:24" ht="39" customHeight="1" x14ac:dyDescent="0.25">
      <c r="A323" s="428" t="s">
        <v>1786</v>
      </c>
      <c r="B323" s="436"/>
      <c r="C323" s="428" t="s">
        <v>1793</v>
      </c>
      <c r="D323" s="436"/>
      <c r="E323" s="436"/>
      <c r="F323" s="436"/>
      <c r="G323" s="436"/>
      <c r="H323" s="436"/>
      <c r="I323" s="436"/>
      <c r="J323" s="436"/>
      <c r="K323" s="446">
        <v>0</v>
      </c>
      <c r="L323" s="446">
        <v>0</v>
      </c>
      <c r="M323" s="446">
        <v>0</v>
      </c>
      <c r="N323" s="446">
        <v>0</v>
      </c>
      <c r="O323" s="446">
        <v>0</v>
      </c>
      <c r="P323" s="446">
        <v>0</v>
      </c>
      <c r="Q323" s="446">
        <v>0</v>
      </c>
      <c r="R323" s="435"/>
      <c r="S323" s="435"/>
      <c r="T323" s="435"/>
      <c r="U323" s="435"/>
      <c r="V323" s="110"/>
      <c r="W323" s="110"/>
      <c r="X323" s="110"/>
    </row>
    <row r="324" spans="1:24" ht="39" customHeight="1" x14ac:dyDescent="0.25">
      <c r="A324" s="428" t="s">
        <v>1787</v>
      </c>
      <c r="B324" s="436"/>
      <c r="C324" s="428" t="s">
        <v>1794</v>
      </c>
      <c r="D324" s="436"/>
      <c r="E324" s="436"/>
      <c r="F324" s="436"/>
      <c r="G324" s="436"/>
      <c r="H324" s="436"/>
      <c r="I324" s="436"/>
      <c r="J324" s="436"/>
      <c r="K324" s="433">
        <f t="shared" ref="K324:Q324" si="80">SUM(K325:K385)</f>
        <v>10657940.82</v>
      </c>
      <c r="L324" s="433">
        <f t="shared" si="80"/>
        <v>2850570.43</v>
      </c>
      <c r="M324" s="433">
        <f t="shared" si="80"/>
        <v>133526.72</v>
      </c>
      <c r="N324" s="433">
        <f t="shared" si="80"/>
        <v>191454.99</v>
      </c>
      <c r="O324" s="433">
        <f t="shared" si="80"/>
        <v>89014.36</v>
      </c>
      <c r="P324" s="433">
        <f t="shared" si="80"/>
        <v>7393374.3199999994</v>
      </c>
      <c r="Q324" s="433">
        <f t="shared" si="80"/>
        <v>0</v>
      </c>
      <c r="R324" s="435"/>
      <c r="S324" s="435"/>
      <c r="T324" s="435"/>
      <c r="U324" s="435"/>
      <c r="V324" s="110"/>
      <c r="W324" s="110"/>
      <c r="X324" s="110"/>
    </row>
    <row r="325" spans="1:24" ht="39" customHeight="1" x14ac:dyDescent="0.25">
      <c r="A325" s="23" t="s">
        <v>773</v>
      </c>
      <c r="B325" s="279" t="s">
        <v>651</v>
      </c>
      <c r="C325" s="74" t="s">
        <v>1509</v>
      </c>
      <c r="D325" s="11" t="s">
        <v>1587</v>
      </c>
      <c r="E325" s="11" t="s">
        <v>392</v>
      </c>
      <c r="F325" s="11" t="s">
        <v>1454</v>
      </c>
      <c r="G325" s="11" t="s">
        <v>1183</v>
      </c>
      <c r="H325" s="11" t="s">
        <v>1586</v>
      </c>
      <c r="I325" s="11"/>
      <c r="J325" s="11"/>
      <c r="K325" s="201">
        <f>L325+M325+N325+O325+P325</f>
        <v>255355.2</v>
      </c>
      <c r="L325" s="201">
        <v>55355.199999999997</v>
      </c>
      <c r="M325" s="202">
        <v>0</v>
      </c>
      <c r="N325" s="202">
        <v>0</v>
      </c>
      <c r="O325" s="202">
        <v>0</v>
      </c>
      <c r="P325" s="201">
        <v>200000</v>
      </c>
      <c r="Q325" s="202">
        <v>0</v>
      </c>
      <c r="R325" s="192" t="s">
        <v>1318</v>
      </c>
      <c r="S325" s="188" t="s">
        <v>1345</v>
      </c>
      <c r="T325" s="188" t="s">
        <v>1316</v>
      </c>
      <c r="U325" s="188">
        <v>2020</v>
      </c>
      <c r="V325" s="110"/>
      <c r="W325" s="110"/>
      <c r="X325" s="110"/>
    </row>
    <row r="326" spans="1:24" ht="39" customHeight="1" x14ac:dyDescent="0.25">
      <c r="A326" s="23" t="s">
        <v>922</v>
      </c>
      <c r="B326" s="279" t="s">
        <v>652</v>
      </c>
      <c r="C326" s="74" t="s">
        <v>1510</v>
      </c>
      <c r="D326" s="11" t="s">
        <v>1587</v>
      </c>
      <c r="E326" s="11" t="s">
        <v>392</v>
      </c>
      <c r="F326" s="11" t="s">
        <v>1454</v>
      </c>
      <c r="G326" s="11" t="s">
        <v>1183</v>
      </c>
      <c r="H326" s="11" t="s">
        <v>1586</v>
      </c>
      <c r="I326" s="11"/>
      <c r="J326" s="11"/>
      <c r="K326" s="201">
        <f t="shared" ref="K326:K385" si="81">L326+M326+N326+O326+P326</f>
        <v>250060.65</v>
      </c>
      <c r="L326" s="201">
        <v>50060.65</v>
      </c>
      <c r="M326" s="202">
        <v>0</v>
      </c>
      <c r="N326" s="202">
        <v>0</v>
      </c>
      <c r="O326" s="202">
        <v>0</v>
      </c>
      <c r="P326" s="201">
        <v>200000</v>
      </c>
      <c r="Q326" s="202">
        <v>0</v>
      </c>
      <c r="R326" s="192" t="s">
        <v>1318</v>
      </c>
      <c r="S326" s="188" t="s">
        <v>1345</v>
      </c>
      <c r="T326" s="188" t="s">
        <v>1316</v>
      </c>
      <c r="U326" s="188">
        <v>2020</v>
      </c>
      <c r="V326" s="110"/>
      <c r="W326" s="110"/>
      <c r="X326" s="110"/>
    </row>
    <row r="327" spans="1:24" ht="39" customHeight="1" x14ac:dyDescent="0.25">
      <c r="A327" s="23" t="s">
        <v>923</v>
      </c>
      <c r="B327" s="279" t="s">
        <v>653</v>
      </c>
      <c r="C327" s="76" t="s">
        <v>1353</v>
      </c>
      <c r="D327" s="12" t="s">
        <v>1443</v>
      </c>
      <c r="E327" s="12" t="s">
        <v>392</v>
      </c>
      <c r="F327" s="12" t="s">
        <v>1455</v>
      </c>
      <c r="G327" s="12" t="s">
        <v>1183</v>
      </c>
      <c r="H327" s="18" t="s">
        <v>1586</v>
      </c>
      <c r="I327" s="12"/>
      <c r="J327" s="12"/>
      <c r="K327" s="201">
        <f t="shared" si="81"/>
        <v>40552.5</v>
      </c>
      <c r="L327" s="223">
        <v>8110.5</v>
      </c>
      <c r="M327" s="223">
        <v>0</v>
      </c>
      <c r="N327" s="223">
        <v>0</v>
      </c>
      <c r="O327" s="223">
        <v>0</v>
      </c>
      <c r="P327" s="223">
        <v>32442</v>
      </c>
      <c r="Q327" s="202">
        <v>0</v>
      </c>
      <c r="R327" s="220" t="s">
        <v>1318</v>
      </c>
      <c r="S327" s="214" t="s">
        <v>1345</v>
      </c>
      <c r="T327" s="214" t="s">
        <v>1316</v>
      </c>
      <c r="U327" s="214">
        <v>2018</v>
      </c>
      <c r="V327" s="492"/>
      <c r="W327" s="493"/>
      <c r="X327" s="493"/>
    </row>
    <row r="328" spans="1:24" ht="39" customHeight="1" x14ac:dyDescent="0.25">
      <c r="A328" s="23" t="s">
        <v>924</v>
      </c>
      <c r="B328" s="279" t="s">
        <v>654</v>
      </c>
      <c r="C328" s="76" t="s">
        <v>1222</v>
      </c>
      <c r="D328" s="12" t="s">
        <v>1443</v>
      </c>
      <c r="E328" s="12" t="s">
        <v>392</v>
      </c>
      <c r="F328" s="12" t="s">
        <v>1455</v>
      </c>
      <c r="G328" s="12" t="s">
        <v>1183</v>
      </c>
      <c r="H328" s="18" t="s">
        <v>1586</v>
      </c>
      <c r="I328" s="12"/>
      <c r="J328" s="13" t="s">
        <v>797</v>
      </c>
      <c r="K328" s="201">
        <f t="shared" si="81"/>
        <v>380638</v>
      </c>
      <c r="L328" s="223">
        <v>158451</v>
      </c>
      <c r="M328" s="223">
        <v>0</v>
      </c>
      <c r="N328" s="223">
        <v>0</v>
      </c>
      <c r="O328" s="223">
        <v>0</v>
      </c>
      <c r="P328" s="223">
        <v>222187</v>
      </c>
      <c r="Q328" s="202">
        <v>0</v>
      </c>
      <c r="R328" s="220" t="s">
        <v>1583</v>
      </c>
      <c r="S328" s="214" t="s">
        <v>1583</v>
      </c>
      <c r="T328" s="214" t="s">
        <v>1333</v>
      </c>
      <c r="U328" s="214">
        <v>2018</v>
      </c>
      <c r="V328" s="494"/>
      <c r="W328" s="493"/>
      <c r="X328" s="493"/>
    </row>
    <row r="329" spans="1:24" ht="39" customHeight="1" x14ac:dyDescent="0.25">
      <c r="A329" s="23" t="s">
        <v>925</v>
      </c>
      <c r="B329" s="279" t="s">
        <v>655</v>
      </c>
      <c r="C329" s="76" t="s">
        <v>1354</v>
      </c>
      <c r="D329" s="12" t="s">
        <v>1443</v>
      </c>
      <c r="E329" s="12" t="s">
        <v>392</v>
      </c>
      <c r="F329" s="12" t="s">
        <v>1455</v>
      </c>
      <c r="G329" s="12" t="s">
        <v>1183</v>
      </c>
      <c r="H329" s="18" t="s">
        <v>1586</v>
      </c>
      <c r="I329" s="12"/>
      <c r="J329" s="12"/>
      <c r="K329" s="201">
        <f t="shared" si="81"/>
        <v>37421.43</v>
      </c>
      <c r="L329" s="223">
        <v>7484.29</v>
      </c>
      <c r="M329" s="223">
        <v>0</v>
      </c>
      <c r="N329" s="223">
        <v>0</v>
      </c>
      <c r="O329" s="223">
        <v>0</v>
      </c>
      <c r="P329" s="223">
        <v>29937.14</v>
      </c>
      <c r="Q329" s="202">
        <v>0</v>
      </c>
      <c r="R329" s="220" t="s">
        <v>1318</v>
      </c>
      <c r="S329" s="214" t="s">
        <v>1345</v>
      </c>
      <c r="T329" s="214" t="s">
        <v>1316</v>
      </c>
      <c r="U329" s="214">
        <v>2018</v>
      </c>
      <c r="V329" s="494"/>
      <c r="W329" s="493"/>
      <c r="X329" s="493"/>
    </row>
    <row r="330" spans="1:24" ht="39" customHeight="1" x14ac:dyDescent="0.25">
      <c r="A330" s="23" t="s">
        <v>926</v>
      </c>
      <c r="B330" s="279" t="s">
        <v>656</v>
      </c>
      <c r="C330" s="76" t="s">
        <v>846</v>
      </c>
      <c r="D330" s="12" t="s">
        <v>1443</v>
      </c>
      <c r="E330" s="12" t="s">
        <v>392</v>
      </c>
      <c r="F330" s="12" t="s">
        <v>1455</v>
      </c>
      <c r="G330" s="12" t="s">
        <v>1183</v>
      </c>
      <c r="H330" s="18" t="s">
        <v>1586</v>
      </c>
      <c r="I330" s="12"/>
      <c r="J330" s="13" t="s">
        <v>797</v>
      </c>
      <c r="K330" s="201">
        <f t="shared" si="81"/>
        <v>300000</v>
      </c>
      <c r="L330" s="223">
        <v>300000</v>
      </c>
      <c r="M330" s="223">
        <v>0</v>
      </c>
      <c r="N330" s="223">
        <v>0</v>
      </c>
      <c r="O330" s="223">
        <v>0</v>
      </c>
      <c r="P330" s="223">
        <v>0</v>
      </c>
      <c r="Q330" s="202">
        <v>0</v>
      </c>
      <c r="R330" s="220" t="s">
        <v>93</v>
      </c>
      <c r="S330" s="214" t="s">
        <v>93</v>
      </c>
      <c r="T330" s="214" t="s">
        <v>94</v>
      </c>
      <c r="U330" s="214">
        <v>2020</v>
      </c>
      <c r="V330" s="494"/>
      <c r="W330" s="493"/>
      <c r="X330" s="493"/>
    </row>
    <row r="331" spans="1:24" ht="39" customHeight="1" x14ac:dyDescent="0.25">
      <c r="A331" s="23" t="s">
        <v>927</v>
      </c>
      <c r="B331" s="279" t="s">
        <v>657</v>
      </c>
      <c r="C331" s="76" t="s">
        <v>847</v>
      </c>
      <c r="D331" s="12" t="s">
        <v>1443</v>
      </c>
      <c r="E331" s="12" t="s">
        <v>392</v>
      </c>
      <c r="F331" s="12" t="s">
        <v>1455</v>
      </c>
      <c r="G331" s="12" t="s">
        <v>1183</v>
      </c>
      <c r="H331" s="18" t="s">
        <v>1586</v>
      </c>
      <c r="I331" s="12"/>
      <c r="J331" s="13" t="s">
        <v>797</v>
      </c>
      <c r="K331" s="201">
        <f t="shared" si="81"/>
        <v>560000</v>
      </c>
      <c r="L331" s="223">
        <v>560000</v>
      </c>
      <c r="M331" s="223">
        <v>0</v>
      </c>
      <c r="N331" s="223">
        <v>0</v>
      </c>
      <c r="O331" s="223">
        <v>0</v>
      </c>
      <c r="P331" s="223">
        <v>0</v>
      </c>
      <c r="Q331" s="202">
        <v>0</v>
      </c>
      <c r="R331" s="220" t="s">
        <v>93</v>
      </c>
      <c r="S331" s="214" t="s">
        <v>93</v>
      </c>
      <c r="T331" s="214" t="s">
        <v>94</v>
      </c>
      <c r="U331" s="214">
        <v>2020</v>
      </c>
      <c r="V331" s="110"/>
      <c r="W331" s="110"/>
      <c r="X331" s="110"/>
    </row>
    <row r="332" spans="1:24" ht="39" customHeight="1" x14ac:dyDescent="0.25">
      <c r="A332" s="23" t="s">
        <v>928</v>
      </c>
      <c r="B332" s="279" t="s">
        <v>658</v>
      </c>
      <c r="C332" s="76" t="s">
        <v>848</v>
      </c>
      <c r="D332" s="12" t="s">
        <v>1443</v>
      </c>
      <c r="E332" s="12" t="s">
        <v>392</v>
      </c>
      <c r="F332" s="12" t="s">
        <v>1455</v>
      </c>
      <c r="G332" s="12" t="s">
        <v>1183</v>
      </c>
      <c r="H332" s="18" t="s">
        <v>1586</v>
      </c>
      <c r="I332" s="12"/>
      <c r="J332" s="13" t="s">
        <v>797</v>
      </c>
      <c r="K332" s="201">
        <f t="shared" si="81"/>
        <v>250000</v>
      </c>
      <c r="L332" s="223">
        <v>250000</v>
      </c>
      <c r="M332" s="223">
        <v>0</v>
      </c>
      <c r="N332" s="223">
        <v>0</v>
      </c>
      <c r="O332" s="223">
        <v>0</v>
      </c>
      <c r="P332" s="223">
        <v>0</v>
      </c>
      <c r="Q332" s="202">
        <v>0</v>
      </c>
      <c r="R332" s="220" t="s">
        <v>93</v>
      </c>
      <c r="S332" s="214" t="s">
        <v>93</v>
      </c>
      <c r="T332" s="214" t="s">
        <v>94</v>
      </c>
      <c r="U332" s="214">
        <v>2020</v>
      </c>
      <c r="V332" s="110"/>
      <c r="W332" s="110"/>
      <c r="X332" s="110"/>
    </row>
    <row r="333" spans="1:24" ht="39" customHeight="1" x14ac:dyDescent="0.25">
      <c r="A333" s="23" t="s">
        <v>929</v>
      </c>
      <c r="B333" s="279" t="s">
        <v>659</v>
      </c>
      <c r="C333" s="76" t="s">
        <v>849</v>
      </c>
      <c r="D333" s="12" t="s">
        <v>1443</v>
      </c>
      <c r="E333" s="12" t="s">
        <v>392</v>
      </c>
      <c r="F333" s="12" t="s">
        <v>1455</v>
      </c>
      <c r="G333" s="12" t="s">
        <v>1183</v>
      </c>
      <c r="H333" s="18" t="s">
        <v>1586</v>
      </c>
      <c r="I333" s="12"/>
      <c r="J333" s="13" t="s">
        <v>797</v>
      </c>
      <c r="K333" s="201">
        <f t="shared" si="81"/>
        <v>250000</v>
      </c>
      <c r="L333" s="223">
        <v>250000</v>
      </c>
      <c r="M333" s="223">
        <v>0</v>
      </c>
      <c r="N333" s="223">
        <v>0</v>
      </c>
      <c r="O333" s="223">
        <v>0</v>
      </c>
      <c r="P333" s="223">
        <v>0</v>
      </c>
      <c r="Q333" s="202">
        <v>0</v>
      </c>
      <c r="R333" s="220" t="s">
        <v>93</v>
      </c>
      <c r="S333" s="214" t="s">
        <v>93</v>
      </c>
      <c r="T333" s="214" t="s">
        <v>94</v>
      </c>
      <c r="U333" s="214">
        <v>2020</v>
      </c>
      <c r="V333" s="110"/>
      <c r="W333" s="110"/>
      <c r="X333" s="110"/>
    </row>
    <row r="334" spans="1:24" ht="39" customHeight="1" x14ac:dyDescent="0.25">
      <c r="A334" s="23" t="s">
        <v>1204</v>
      </c>
      <c r="B334" s="279" t="s">
        <v>660</v>
      </c>
      <c r="C334" s="76" t="s">
        <v>1699</v>
      </c>
      <c r="D334" s="12" t="s">
        <v>1589</v>
      </c>
      <c r="E334" s="12" t="s">
        <v>1585</v>
      </c>
      <c r="F334" s="11" t="s">
        <v>1441</v>
      </c>
      <c r="G334" s="12" t="s">
        <v>1242</v>
      </c>
      <c r="H334" s="18" t="s">
        <v>1586</v>
      </c>
      <c r="I334" s="16"/>
      <c r="J334" s="16"/>
      <c r="K334" s="201">
        <f t="shared" si="81"/>
        <v>890178.15999999992</v>
      </c>
      <c r="L334" s="222">
        <v>66763.360000000001</v>
      </c>
      <c r="M334" s="223">
        <v>66763.360000000001</v>
      </c>
      <c r="N334" s="222">
        <v>0</v>
      </c>
      <c r="O334" s="222">
        <v>0</v>
      </c>
      <c r="P334" s="223">
        <v>756651.44</v>
      </c>
      <c r="Q334" s="202">
        <v>0</v>
      </c>
      <c r="R334" s="236" t="s">
        <v>1323</v>
      </c>
      <c r="S334" s="225" t="s">
        <v>1330</v>
      </c>
      <c r="T334" s="225" t="s">
        <v>38</v>
      </c>
      <c r="U334" s="225">
        <v>2020</v>
      </c>
      <c r="V334" s="110"/>
      <c r="W334" s="110"/>
      <c r="X334" s="110"/>
    </row>
    <row r="335" spans="1:24" ht="39" customHeight="1" x14ac:dyDescent="0.25">
      <c r="A335" s="23" t="s">
        <v>1205</v>
      </c>
      <c r="B335" s="279" t="s">
        <v>661</v>
      </c>
      <c r="C335" s="76" t="s">
        <v>814</v>
      </c>
      <c r="D335" s="12" t="s">
        <v>1443</v>
      </c>
      <c r="E335" s="12" t="s">
        <v>392</v>
      </c>
      <c r="F335" s="12" t="s">
        <v>1455</v>
      </c>
      <c r="G335" s="12" t="s">
        <v>1183</v>
      </c>
      <c r="H335" s="12" t="s">
        <v>1586</v>
      </c>
      <c r="I335" s="12"/>
      <c r="J335" s="12"/>
      <c r="K335" s="201">
        <f t="shared" si="81"/>
        <v>221546.44</v>
      </c>
      <c r="L335" s="212">
        <v>44309.29</v>
      </c>
      <c r="M335" s="223">
        <v>0</v>
      </c>
      <c r="N335" s="223">
        <v>0</v>
      </c>
      <c r="O335" s="223">
        <v>0</v>
      </c>
      <c r="P335" s="212">
        <v>177237.15</v>
      </c>
      <c r="Q335" s="202">
        <v>0</v>
      </c>
      <c r="R335" s="220" t="s">
        <v>1318</v>
      </c>
      <c r="S335" s="214" t="s">
        <v>1345</v>
      </c>
      <c r="T335" s="214" t="s">
        <v>1316</v>
      </c>
      <c r="U335" s="214">
        <v>2018</v>
      </c>
      <c r="V335" s="110"/>
      <c r="W335" s="110"/>
      <c r="X335" s="110"/>
    </row>
    <row r="336" spans="1:24" ht="39" customHeight="1" x14ac:dyDescent="0.25">
      <c r="A336" s="23" t="s">
        <v>1246</v>
      </c>
      <c r="B336" s="279" t="s">
        <v>662</v>
      </c>
      <c r="C336" s="19" t="s">
        <v>42</v>
      </c>
      <c r="D336" s="12" t="s">
        <v>1443</v>
      </c>
      <c r="E336" s="12" t="s">
        <v>392</v>
      </c>
      <c r="F336" s="12" t="s">
        <v>1455</v>
      </c>
      <c r="G336" s="12" t="s">
        <v>1183</v>
      </c>
      <c r="H336" s="18" t="s">
        <v>1586</v>
      </c>
      <c r="I336" s="12"/>
      <c r="J336" s="12"/>
      <c r="K336" s="201">
        <f t="shared" si="81"/>
        <v>146055.89000000001</v>
      </c>
      <c r="L336" s="223">
        <v>29211.18</v>
      </c>
      <c r="M336" s="223">
        <v>0</v>
      </c>
      <c r="N336" s="223">
        <v>0</v>
      </c>
      <c r="O336" s="223">
        <v>0</v>
      </c>
      <c r="P336" s="223">
        <v>116844.71</v>
      </c>
      <c r="Q336" s="202">
        <v>0</v>
      </c>
      <c r="R336" s="220" t="s">
        <v>1318</v>
      </c>
      <c r="S336" s="214" t="s">
        <v>1345</v>
      </c>
      <c r="T336" s="214" t="s">
        <v>1316</v>
      </c>
      <c r="U336" s="214">
        <v>2018</v>
      </c>
      <c r="V336" s="110"/>
      <c r="W336" s="110"/>
      <c r="X336" s="110"/>
    </row>
    <row r="337" spans="1:24" ht="39" customHeight="1" x14ac:dyDescent="0.25">
      <c r="A337" s="23" t="s">
        <v>1352</v>
      </c>
      <c r="B337" s="279" t="s">
        <v>663</v>
      </c>
      <c r="C337" s="76" t="s">
        <v>1359</v>
      </c>
      <c r="D337" s="12" t="s">
        <v>1360</v>
      </c>
      <c r="E337" s="12" t="s">
        <v>392</v>
      </c>
      <c r="F337" s="12" t="s">
        <v>1455</v>
      </c>
      <c r="G337" s="12" t="s">
        <v>1183</v>
      </c>
      <c r="H337" s="18" t="s">
        <v>1586</v>
      </c>
      <c r="I337" s="12"/>
      <c r="J337" s="12" t="s">
        <v>797</v>
      </c>
      <c r="K337" s="201">
        <f t="shared" si="81"/>
        <v>60796.45</v>
      </c>
      <c r="L337" s="223">
        <v>10049</v>
      </c>
      <c r="M337" s="223">
        <v>0</v>
      </c>
      <c r="N337" s="223">
        <v>10551.45</v>
      </c>
      <c r="O337" s="223">
        <v>0</v>
      </c>
      <c r="P337" s="223">
        <v>40196</v>
      </c>
      <c r="Q337" s="202">
        <v>0</v>
      </c>
      <c r="R337" s="220" t="s">
        <v>1318</v>
      </c>
      <c r="S337" s="214" t="s">
        <v>1345</v>
      </c>
      <c r="T337" s="214" t="s">
        <v>1316</v>
      </c>
      <c r="U337" s="214">
        <v>2019</v>
      </c>
      <c r="V337" s="110"/>
      <c r="W337" s="110"/>
      <c r="X337" s="110"/>
    </row>
    <row r="338" spans="1:24" ht="39" customHeight="1" x14ac:dyDescent="0.25">
      <c r="A338" s="23" t="s">
        <v>1363</v>
      </c>
      <c r="B338" s="279" t="s">
        <v>664</v>
      </c>
      <c r="C338" s="76" t="s">
        <v>1361</v>
      </c>
      <c r="D338" s="12" t="s">
        <v>1443</v>
      </c>
      <c r="E338" s="12" t="s">
        <v>392</v>
      </c>
      <c r="F338" s="12" t="s">
        <v>1455</v>
      </c>
      <c r="G338" s="12" t="s">
        <v>1183</v>
      </c>
      <c r="H338" s="18" t="s">
        <v>1586</v>
      </c>
      <c r="I338" s="12"/>
      <c r="J338" s="12"/>
      <c r="K338" s="201">
        <f t="shared" si="81"/>
        <v>166008.47999999998</v>
      </c>
      <c r="L338" s="223">
        <v>33201.699999999997</v>
      </c>
      <c r="M338" s="223">
        <v>0</v>
      </c>
      <c r="N338" s="223">
        <v>0</v>
      </c>
      <c r="O338" s="223">
        <v>0</v>
      </c>
      <c r="P338" s="223">
        <v>132806.78</v>
      </c>
      <c r="Q338" s="202">
        <v>0</v>
      </c>
      <c r="R338" s="220" t="s">
        <v>1318</v>
      </c>
      <c r="S338" s="214" t="s">
        <v>1345</v>
      </c>
      <c r="T338" s="214" t="s">
        <v>1316</v>
      </c>
      <c r="U338" s="214">
        <v>2019</v>
      </c>
      <c r="V338" s="110"/>
      <c r="W338" s="110"/>
      <c r="X338" s="110"/>
    </row>
    <row r="339" spans="1:24" ht="39" customHeight="1" x14ac:dyDescent="0.25">
      <c r="A339" s="23" t="s">
        <v>1364</v>
      </c>
      <c r="B339" s="279" t="s">
        <v>665</v>
      </c>
      <c r="C339" s="76" t="s">
        <v>1362</v>
      </c>
      <c r="D339" s="12" t="s">
        <v>1443</v>
      </c>
      <c r="E339" s="12" t="s">
        <v>392</v>
      </c>
      <c r="F339" s="12" t="s">
        <v>1455</v>
      </c>
      <c r="G339" s="12" t="s">
        <v>1183</v>
      </c>
      <c r="H339" s="18" t="s">
        <v>1586</v>
      </c>
      <c r="I339" s="12"/>
      <c r="J339" s="12"/>
      <c r="K339" s="201">
        <f t="shared" si="81"/>
        <v>51961.770000000004</v>
      </c>
      <c r="L339" s="223">
        <v>10392.36</v>
      </c>
      <c r="M339" s="223">
        <v>0</v>
      </c>
      <c r="N339" s="223">
        <v>0</v>
      </c>
      <c r="O339" s="223">
        <v>0</v>
      </c>
      <c r="P339" s="223">
        <v>41569.410000000003</v>
      </c>
      <c r="Q339" s="202">
        <v>0</v>
      </c>
      <c r="R339" s="220" t="s">
        <v>1318</v>
      </c>
      <c r="S339" s="214" t="s">
        <v>1345</v>
      </c>
      <c r="T339" s="214" t="s">
        <v>1316</v>
      </c>
      <c r="U339" s="214">
        <v>2018</v>
      </c>
      <c r="V339" s="110"/>
      <c r="W339" s="110"/>
      <c r="X339" s="110"/>
    </row>
    <row r="340" spans="1:24" ht="39" customHeight="1" x14ac:dyDescent="0.25">
      <c r="A340" s="23" t="s">
        <v>1365</v>
      </c>
      <c r="B340" s="279" t="s">
        <v>666</v>
      </c>
      <c r="C340" s="76" t="s">
        <v>1368</v>
      </c>
      <c r="D340" s="12" t="s">
        <v>1443</v>
      </c>
      <c r="E340" s="12" t="s">
        <v>392</v>
      </c>
      <c r="F340" s="12" t="s">
        <v>1455</v>
      </c>
      <c r="G340" s="12" t="s">
        <v>1183</v>
      </c>
      <c r="H340" s="12" t="s">
        <v>1586</v>
      </c>
      <c r="I340" s="12"/>
      <c r="J340" s="12"/>
      <c r="K340" s="201">
        <f t="shared" si="81"/>
        <v>55282.46</v>
      </c>
      <c r="L340" s="223">
        <v>11056.5</v>
      </c>
      <c r="M340" s="223">
        <v>0</v>
      </c>
      <c r="N340" s="223">
        <v>0</v>
      </c>
      <c r="O340" s="223">
        <v>0</v>
      </c>
      <c r="P340" s="223">
        <v>44225.96</v>
      </c>
      <c r="Q340" s="202">
        <v>0</v>
      </c>
      <c r="R340" s="220" t="s">
        <v>1318</v>
      </c>
      <c r="S340" s="214" t="s">
        <v>1345</v>
      </c>
      <c r="T340" s="214" t="s">
        <v>1316</v>
      </c>
      <c r="U340" s="214">
        <v>2018</v>
      </c>
      <c r="V340" s="110"/>
      <c r="W340" s="110"/>
      <c r="X340" s="110"/>
    </row>
    <row r="341" spans="1:24" ht="39" customHeight="1" x14ac:dyDescent="0.25">
      <c r="A341" s="23" t="s">
        <v>1366</v>
      </c>
      <c r="B341" s="279" t="s">
        <v>667</v>
      </c>
      <c r="C341" s="76" t="s">
        <v>1369</v>
      </c>
      <c r="D341" s="12" t="s">
        <v>1443</v>
      </c>
      <c r="E341" s="12" t="s">
        <v>392</v>
      </c>
      <c r="F341" s="12" t="s">
        <v>1455</v>
      </c>
      <c r="G341" s="12" t="s">
        <v>1183</v>
      </c>
      <c r="H341" s="12" t="s">
        <v>1586</v>
      </c>
      <c r="I341" s="12"/>
      <c r="J341" s="12"/>
      <c r="K341" s="201">
        <f t="shared" si="81"/>
        <v>34227.659999999996</v>
      </c>
      <c r="L341" s="223">
        <v>6845.54</v>
      </c>
      <c r="M341" s="223">
        <v>0</v>
      </c>
      <c r="N341" s="223">
        <v>0</v>
      </c>
      <c r="O341" s="223">
        <v>0</v>
      </c>
      <c r="P341" s="223">
        <v>27382.12</v>
      </c>
      <c r="Q341" s="202">
        <v>0</v>
      </c>
      <c r="R341" s="220" t="s">
        <v>1318</v>
      </c>
      <c r="S341" s="214" t="s">
        <v>1345</v>
      </c>
      <c r="T341" s="214" t="s">
        <v>1316</v>
      </c>
      <c r="U341" s="214">
        <v>2018</v>
      </c>
      <c r="V341" s="110"/>
      <c r="W341" s="110"/>
      <c r="X341" s="110"/>
    </row>
    <row r="342" spans="1:24" ht="39" customHeight="1" x14ac:dyDescent="0.25">
      <c r="A342" s="23" t="s">
        <v>1374</v>
      </c>
      <c r="B342" s="279" t="s">
        <v>668</v>
      </c>
      <c r="C342" s="74" t="s">
        <v>1370</v>
      </c>
      <c r="D342" s="12" t="s">
        <v>1443</v>
      </c>
      <c r="E342" s="12" t="s">
        <v>392</v>
      </c>
      <c r="F342" s="12" t="s">
        <v>1455</v>
      </c>
      <c r="G342" s="12" t="s">
        <v>1183</v>
      </c>
      <c r="H342" s="18" t="s">
        <v>1586</v>
      </c>
      <c r="I342" s="12"/>
      <c r="J342" s="12"/>
      <c r="K342" s="201">
        <f t="shared" si="81"/>
        <v>51099.880000000005</v>
      </c>
      <c r="L342" s="223">
        <v>10219.98</v>
      </c>
      <c r="M342" s="223">
        <v>0</v>
      </c>
      <c r="N342" s="223">
        <v>0</v>
      </c>
      <c r="O342" s="223">
        <v>0</v>
      </c>
      <c r="P342" s="223">
        <v>40879.9</v>
      </c>
      <c r="Q342" s="202">
        <v>0</v>
      </c>
      <c r="R342" s="220" t="s">
        <v>1318</v>
      </c>
      <c r="S342" s="214" t="s">
        <v>1345</v>
      </c>
      <c r="T342" s="214" t="s">
        <v>1316</v>
      </c>
      <c r="U342" s="214">
        <v>2018</v>
      </c>
      <c r="V342" s="110"/>
      <c r="W342" s="110"/>
      <c r="X342" s="110"/>
    </row>
    <row r="343" spans="1:24" ht="39" customHeight="1" x14ac:dyDescent="0.25">
      <c r="A343" s="23" t="s">
        <v>1375</v>
      </c>
      <c r="B343" s="279" t="s">
        <v>669</v>
      </c>
      <c r="C343" s="74" t="s">
        <v>1371</v>
      </c>
      <c r="D343" s="12" t="s">
        <v>1443</v>
      </c>
      <c r="E343" s="12" t="s">
        <v>392</v>
      </c>
      <c r="F343" s="12" t="s">
        <v>1455</v>
      </c>
      <c r="G343" s="12" t="s">
        <v>1183</v>
      </c>
      <c r="H343" s="18" t="s">
        <v>1586</v>
      </c>
      <c r="I343" s="12"/>
      <c r="J343" s="12"/>
      <c r="K343" s="201">
        <f t="shared" si="81"/>
        <v>47352.409999999996</v>
      </c>
      <c r="L343" s="223">
        <v>9470.49</v>
      </c>
      <c r="M343" s="223">
        <v>0</v>
      </c>
      <c r="N343" s="223">
        <v>0</v>
      </c>
      <c r="O343" s="223">
        <v>0</v>
      </c>
      <c r="P343" s="223">
        <v>37881.919999999998</v>
      </c>
      <c r="Q343" s="202">
        <v>0</v>
      </c>
      <c r="R343" s="220" t="s">
        <v>1318</v>
      </c>
      <c r="S343" s="214" t="s">
        <v>1345</v>
      </c>
      <c r="T343" s="214" t="s">
        <v>1316</v>
      </c>
      <c r="U343" s="214">
        <v>2018</v>
      </c>
      <c r="V343" s="110"/>
      <c r="W343" s="110"/>
      <c r="X343" s="110"/>
    </row>
    <row r="344" spans="1:24" ht="39" customHeight="1" x14ac:dyDescent="0.25">
      <c r="A344" s="23" t="s">
        <v>1376</v>
      </c>
      <c r="B344" s="279" t="s">
        <v>670</v>
      </c>
      <c r="C344" s="74" t="s">
        <v>1372</v>
      </c>
      <c r="D344" s="12" t="s">
        <v>1443</v>
      </c>
      <c r="E344" s="12" t="s">
        <v>392</v>
      </c>
      <c r="F344" s="12" t="s">
        <v>1455</v>
      </c>
      <c r="G344" s="12" t="s">
        <v>1183</v>
      </c>
      <c r="H344" s="18" t="s">
        <v>1586</v>
      </c>
      <c r="I344" s="12"/>
      <c r="J344" s="12"/>
      <c r="K344" s="201">
        <f t="shared" si="81"/>
        <v>33629.42</v>
      </c>
      <c r="L344" s="223">
        <v>6725.89</v>
      </c>
      <c r="M344" s="223">
        <v>0</v>
      </c>
      <c r="N344" s="223">
        <v>0</v>
      </c>
      <c r="O344" s="223">
        <v>0</v>
      </c>
      <c r="P344" s="223">
        <v>26903.53</v>
      </c>
      <c r="Q344" s="202">
        <v>0</v>
      </c>
      <c r="R344" s="220" t="s">
        <v>1318</v>
      </c>
      <c r="S344" s="214" t="s">
        <v>1345</v>
      </c>
      <c r="T344" s="214" t="s">
        <v>1316</v>
      </c>
      <c r="U344" s="214">
        <v>2018</v>
      </c>
      <c r="V344" s="110"/>
      <c r="W344" s="110"/>
      <c r="X344" s="110"/>
    </row>
    <row r="345" spans="1:24" ht="39" customHeight="1" x14ac:dyDescent="0.25">
      <c r="A345" s="23" t="s">
        <v>1377</v>
      </c>
      <c r="B345" s="279" t="s">
        <v>671</v>
      </c>
      <c r="C345" s="74" t="s">
        <v>1373</v>
      </c>
      <c r="D345" s="12" t="s">
        <v>1443</v>
      </c>
      <c r="E345" s="12" t="s">
        <v>392</v>
      </c>
      <c r="F345" s="12" t="s">
        <v>1455</v>
      </c>
      <c r="G345" s="12" t="s">
        <v>1183</v>
      </c>
      <c r="H345" s="18" t="s">
        <v>1586</v>
      </c>
      <c r="I345" s="12"/>
      <c r="J345" s="12" t="s">
        <v>797</v>
      </c>
      <c r="K345" s="201">
        <f t="shared" si="81"/>
        <v>44295.82</v>
      </c>
      <c r="L345" s="223">
        <v>8859.17</v>
      </c>
      <c r="M345" s="223">
        <v>0</v>
      </c>
      <c r="N345" s="223">
        <v>0</v>
      </c>
      <c r="O345" s="223">
        <v>0</v>
      </c>
      <c r="P345" s="223">
        <v>35436.65</v>
      </c>
      <c r="Q345" s="202">
        <v>0</v>
      </c>
      <c r="R345" s="220" t="s">
        <v>1318</v>
      </c>
      <c r="S345" s="214" t="s">
        <v>1345</v>
      </c>
      <c r="T345" s="214" t="s">
        <v>1316</v>
      </c>
      <c r="U345" s="214">
        <v>2019</v>
      </c>
      <c r="V345" s="110"/>
      <c r="W345" s="110"/>
      <c r="X345" s="110"/>
    </row>
    <row r="346" spans="1:24" ht="39" customHeight="1" x14ac:dyDescent="0.25">
      <c r="A346" s="23" t="s">
        <v>1378</v>
      </c>
      <c r="B346" s="279" t="s">
        <v>672</v>
      </c>
      <c r="C346" s="74" t="s">
        <v>112</v>
      </c>
      <c r="D346" s="12" t="s">
        <v>1584</v>
      </c>
      <c r="E346" s="12" t="s">
        <v>392</v>
      </c>
      <c r="F346" s="12" t="s">
        <v>1436</v>
      </c>
      <c r="G346" s="12" t="s">
        <v>1183</v>
      </c>
      <c r="H346" s="18" t="s">
        <v>1586</v>
      </c>
      <c r="I346" s="12"/>
      <c r="J346" s="12"/>
      <c r="K346" s="201">
        <f t="shared" si="81"/>
        <v>227112.5</v>
      </c>
      <c r="L346" s="223">
        <v>0</v>
      </c>
      <c r="M346" s="223">
        <v>0</v>
      </c>
      <c r="N346" s="223">
        <v>0</v>
      </c>
      <c r="O346" s="223">
        <v>45422.5</v>
      </c>
      <c r="P346" s="223">
        <v>181690</v>
      </c>
      <c r="Q346" s="202">
        <v>0</v>
      </c>
      <c r="R346" s="238" t="s">
        <v>1328</v>
      </c>
      <c r="S346" s="214" t="s">
        <v>1321</v>
      </c>
      <c r="T346" s="214" t="s">
        <v>1345</v>
      </c>
      <c r="U346" s="214">
        <v>2018</v>
      </c>
      <c r="V346" s="110"/>
      <c r="W346" s="110"/>
      <c r="X346" s="110"/>
    </row>
    <row r="347" spans="1:24" ht="39" customHeight="1" x14ac:dyDescent="0.25">
      <c r="A347" s="23" t="s">
        <v>1379</v>
      </c>
      <c r="B347" s="279" t="s">
        <v>673</v>
      </c>
      <c r="C347" s="74" t="s">
        <v>115</v>
      </c>
      <c r="D347" s="12" t="s">
        <v>1584</v>
      </c>
      <c r="E347" s="12" t="s">
        <v>392</v>
      </c>
      <c r="F347" s="12" t="s">
        <v>1436</v>
      </c>
      <c r="G347" s="12" t="s">
        <v>1183</v>
      </c>
      <c r="H347" s="18" t="s">
        <v>1586</v>
      </c>
      <c r="I347" s="12"/>
      <c r="J347" s="12"/>
      <c r="K347" s="201">
        <f t="shared" si="81"/>
        <v>217959.28000000003</v>
      </c>
      <c r="L347" s="223">
        <v>0</v>
      </c>
      <c r="M347" s="223">
        <v>0</v>
      </c>
      <c r="N347" s="223">
        <v>0</v>
      </c>
      <c r="O347" s="223">
        <v>43591.86</v>
      </c>
      <c r="P347" s="223">
        <v>174367.42</v>
      </c>
      <c r="Q347" s="202">
        <v>0</v>
      </c>
      <c r="R347" s="238" t="s">
        <v>1328</v>
      </c>
      <c r="S347" s="214" t="s">
        <v>1321</v>
      </c>
      <c r="T347" s="214" t="s">
        <v>1345</v>
      </c>
      <c r="U347" s="214">
        <v>2018</v>
      </c>
      <c r="V347" s="110"/>
      <c r="W347" s="110"/>
      <c r="X347" s="110"/>
    </row>
    <row r="348" spans="1:24" ht="39" customHeight="1" x14ac:dyDescent="0.25">
      <c r="A348" s="23" t="s">
        <v>1381</v>
      </c>
      <c r="B348" s="279" t="s">
        <v>674</v>
      </c>
      <c r="C348" s="74" t="s">
        <v>1485</v>
      </c>
      <c r="D348" s="12" t="s">
        <v>1584</v>
      </c>
      <c r="E348" s="12" t="s">
        <v>392</v>
      </c>
      <c r="F348" s="12" t="s">
        <v>1436</v>
      </c>
      <c r="G348" s="12" t="s">
        <v>1183</v>
      </c>
      <c r="H348" s="18" t="s">
        <v>1586</v>
      </c>
      <c r="I348" s="12"/>
      <c r="J348" s="12"/>
      <c r="K348" s="201">
        <f t="shared" si="81"/>
        <v>221056.30000000002</v>
      </c>
      <c r="L348" s="223">
        <v>44211.26</v>
      </c>
      <c r="M348" s="223">
        <v>0</v>
      </c>
      <c r="N348" s="223">
        <v>0</v>
      </c>
      <c r="O348" s="223">
        <v>0</v>
      </c>
      <c r="P348" s="223">
        <v>176845.04</v>
      </c>
      <c r="Q348" s="202">
        <v>0</v>
      </c>
      <c r="R348" s="238" t="s">
        <v>1328</v>
      </c>
      <c r="S348" s="214" t="s">
        <v>1321</v>
      </c>
      <c r="T348" s="214" t="s">
        <v>1345</v>
      </c>
      <c r="U348" s="214">
        <v>2018</v>
      </c>
      <c r="V348" s="110"/>
      <c r="W348" s="110"/>
      <c r="X348" s="110"/>
    </row>
    <row r="349" spans="1:24" ht="39" customHeight="1" x14ac:dyDescent="0.25">
      <c r="A349" s="23" t="s">
        <v>1382</v>
      </c>
      <c r="B349" s="279" t="s">
        <v>675</v>
      </c>
      <c r="C349" s="74" t="s">
        <v>1490</v>
      </c>
      <c r="D349" s="12" t="s">
        <v>1584</v>
      </c>
      <c r="E349" s="12" t="s">
        <v>392</v>
      </c>
      <c r="F349" s="12" t="s">
        <v>1436</v>
      </c>
      <c r="G349" s="12" t="s">
        <v>1183</v>
      </c>
      <c r="H349" s="18" t="s">
        <v>1586</v>
      </c>
      <c r="I349" s="12"/>
      <c r="J349" s="12"/>
      <c r="K349" s="201">
        <f t="shared" si="81"/>
        <v>235079.12</v>
      </c>
      <c r="L349" s="223">
        <v>47015.82</v>
      </c>
      <c r="M349" s="223">
        <v>0</v>
      </c>
      <c r="N349" s="223">
        <v>0</v>
      </c>
      <c r="O349" s="223">
        <v>0</v>
      </c>
      <c r="P349" s="223">
        <v>188063.3</v>
      </c>
      <c r="Q349" s="202">
        <v>0</v>
      </c>
      <c r="R349" s="238" t="s">
        <v>1328</v>
      </c>
      <c r="S349" s="214" t="s">
        <v>1321</v>
      </c>
      <c r="T349" s="214" t="s">
        <v>1345</v>
      </c>
      <c r="U349" s="214">
        <v>2018</v>
      </c>
      <c r="V349" s="110"/>
      <c r="W349" s="110"/>
      <c r="X349" s="110"/>
    </row>
    <row r="350" spans="1:24" ht="39" customHeight="1" x14ac:dyDescent="0.25">
      <c r="A350" s="23" t="s">
        <v>1383</v>
      </c>
      <c r="B350" s="279" t="s">
        <v>676</v>
      </c>
      <c r="C350" s="74" t="s">
        <v>43</v>
      </c>
      <c r="D350" s="12" t="s">
        <v>1443</v>
      </c>
      <c r="E350" s="12" t="s">
        <v>392</v>
      </c>
      <c r="F350" s="12" t="s">
        <v>1455</v>
      </c>
      <c r="G350" s="12" t="s">
        <v>1183</v>
      </c>
      <c r="H350" s="18" t="s">
        <v>1586</v>
      </c>
      <c r="I350" s="12"/>
      <c r="J350" s="12" t="s">
        <v>797</v>
      </c>
      <c r="K350" s="201">
        <f t="shared" si="81"/>
        <v>197805.57</v>
      </c>
      <c r="L350" s="223">
        <v>39561.120000000003</v>
      </c>
      <c r="M350" s="223">
        <v>0</v>
      </c>
      <c r="N350" s="223">
        <v>0</v>
      </c>
      <c r="O350" s="223">
        <v>0</v>
      </c>
      <c r="P350" s="223">
        <v>158244.45000000001</v>
      </c>
      <c r="Q350" s="202">
        <v>0</v>
      </c>
      <c r="R350" s="220" t="s">
        <v>1318</v>
      </c>
      <c r="S350" s="214" t="s">
        <v>1345</v>
      </c>
      <c r="T350" s="214" t="s">
        <v>1316</v>
      </c>
      <c r="U350" s="214">
        <v>2019</v>
      </c>
      <c r="V350" s="110"/>
      <c r="W350" s="110"/>
      <c r="X350" s="110"/>
    </row>
    <row r="351" spans="1:24" ht="39" customHeight="1" x14ac:dyDescent="0.25">
      <c r="A351" s="23" t="s">
        <v>163</v>
      </c>
      <c r="B351" s="279" t="s">
        <v>677</v>
      </c>
      <c r="C351" s="74" t="s">
        <v>1700</v>
      </c>
      <c r="D351" s="13" t="s">
        <v>1589</v>
      </c>
      <c r="E351" s="13" t="s">
        <v>1585</v>
      </c>
      <c r="F351" s="13" t="s">
        <v>1441</v>
      </c>
      <c r="G351" s="13" t="s">
        <v>1242</v>
      </c>
      <c r="H351" s="17" t="s">
        <v>1586</v>
      </c>
      <c r="I351" s="12"/>
      <c r="J351" s="12"/>
      <c r="K351" s="201">
        <f t="shared" si="81"/>
        <v>890178.15999999992</v>
      </c>
      <c r="L351" s="223">
        <v>66763.360000000001</v>
      </c>
      <c r="M351" s="223">
        <v>66763.360000000001</v>
      </c>
      <c r="N351" s="223">
        <v>0</v>
      </c>
      <c r="O351" s="223">
        <v>0</v>
      </c>
      <c r="P351" s="223">
        <v>756651.44</v>
      </c>
      <c r="Q351" s="202">
        <v>0</v>
      </c>
      <c r="R351" s="213" t="s">
        <v>1330</v>
      </c>
      <c r="S351" s="214" t="s">
        <v>1324</v>
      </c>
      <c r="T351" s="214" t="s">
        <v>1348</v>
      </c>
      <c r="U351" s="214">
        <v>2020</v>
      </c>
      <c r="V351" s="110"/>
      <c r="W351" s="110"/>
      <c r="X351" s="110"/>
    </row>
    <row r="352" spans="1:24" ht="39" customHeight="1" x14ac:dyDescent="0.25">
      <c r="A352" s="23" t="s">
        <v>176</v>
      </c>
      <c r="B352" s="279" t="s">
        <v>678</v>
      </c>
      <c r="C352" s="74" t="s">
        <v>177</v>
      </c>
      <c r="D352" s="13" t="s">
        <v>1145</v>
      </c>
      <c r="E352" s="13" t="s">
        <v>392</v>
      </c>
      <c r="F352" s="13" t="s">
        <v>1147</v>
      </c>
      <c r="G352" s="13" t="s">
        <v>1183</v>
      </c>
      <c r="H352" s="17" t="s">
        <v>1586</v>
      </c>
      <c r="I352" s="12"/>
      <c r="J352" s="12"/>
      <c r="K352" s="201">
        <f t="shared" si="81"/>
        <v>250023.77</v>
      </c>
      <c r="L352" s="223">
        <v>50023.77</v>
      </c>
      <c r="M352" s="223">
        <v>0</v>
      </c>
      <c r="N352" s="223">
        <v>0</v>
      </c>
      <c r="O352" s="223">
        <v>0</v>
      </c>
      <c r="P352" s="223">
        <v>200000</v>
      </c>
      <c r="Q352" s="202">
        <v>0</v>
      </c>
      <c r="R352" s="213" t="s">
        <v>1318</v>
      </c>
      <c r="S352" s="214" t="s">
        <v>1345</v>
      </c>
      <c r="T352" s="214" t="s">
        <v>1316</v>
      </c>
      <c r="U352" s="214">
        <v>2020</v>
      </c>
      <c r="V352" s="110"/>
      <c r="W352" s="110"/>
      <c r="X352" s="110"/>
    </row>
    <row r="353" spans="1:24" ht="39" customHeight="1" x14ac:dyDescent="0.25">
      <c r="A353" s="23" t="s">
        <v>178</v>
      </c>
      <c r="B353" s="279" t="s">
        <v>679</v>
      </c>
      <c r="C353" s="74" t="s">
        <v>179</v>
      </c>
      <c r="D353" s="13" t="s">
        <v>1145</v>
      </c>
      <c r="E353" s="13" t="s">
        <v>392</v>
      </c>
      <c r="F353" s="13" t="s">
        <v>1147</v>
      </c>
      <c r="G353" s="13" t="s">
        <v>1183</v>
      </c>
      <c r="H353" s="17" t="s">
        <v>1586</v>
      </c>
      <c r="I353" s="12"/>
      <c r="J353" s="12" t="s">
        <v>797</v>
      </c>
      <c r="K353" s="201">
        <f t="shared" si="81"/>
        <v>280000</v>
      </c>
      <c r="L353" s="223">
        <v>0</v>
      </c>
      <c r="M353" s="223">
        <v>0</v>
      </c>
      <c r="N353" s="223">
        <v>94876.04</v>
      </c>
      <c r="O353" s="223">
        <v>0</v>
      </c>
      <c r="P353" s="223">
        <v>185123.96</v>
      </c>
      <c r="Q353" s="202">
        <v>0</v>
      </c>
      <c r="R353" s="213" t="s">
        <v>1318</v>
      </c>
      <c r="S353" s="214" t="s">
        <v>1324</v>
      </c>
      <c r="T353" s="214" t="s">
        <v>1348</v>
      </c>
      <c r="U353" s="214">
        <v>2020</v>
      </c>
      <c r="V353" s="110"/>
      <c r="W353" s="110"/>
      <c r="X353" s="110"/>
    </row>
    <row r="354" spans="1:24" ht="39" customHeight="1" x14ac:dyDescent="0.25">
      <c r="A354" s="23" t="s">
        <v>180</v>
      </c>
      <c r="B354" s="279" t="s">
        <v>680</v>
      </c>
      <c r="C354" s="74" t="s">
        <v>181</v>
      </c>
      <c r="D354" s="13" t="s">
        <v>1589</v>
      </c>
      <c r="E354" s="13" t="s">
        <v>392</v>
      </c>
      <c r="F354" s="13" t="s">
        <v>1441</v>
      </c>
      <c r="G354" s="13" t="s">
        <v>1183</v>
      </c>
      <c r="H354" s="17" t="s">
        <v>1586</v>
      </c>
      <c r="I354" s="12"/>
      <c r="J354" s="12"/>
      <c r="K354" s="201">
        <f t="shared" si="81"/>
        <v>24815</v>
      </c>
      <c r="L354" s="223">
        <v>4963</v>
      </c>
      <c r="M354" s="223">
        <v>0</v>
      </c>
      <c r="N354" s="223">
        <v>0</v>
      </c>
      <c r="O354" s="223">
        <v>0</v>
      </c>
      <c r="P354" s="223">
        <v>19852</v>
      </c>
      <c r="Q354" s="202">
        <v>0</v>
      </c>
      <c r="R354" s="213" t="s">
        <v>1318</v>
      </c>
      <c r="S354" s="214" t="s">
        <v>1345</v>
      </c>
      <c r="T354" s="214" t="s">
        <v>1323</v>
      </c>
      <c r="U354" s="214">
        <v>2018</v>
      </c>
      <c r="V354" s="110"/>
      <c r="W354" s="110"/>
      <c r="X354" s="110"/>
    </row>
    <row r="355" spans="1:24" ht="39" customHeight="1" x14ac:dyDescent="0.25">
      <c r="A355" s="23" t="s">
        <v>182</v>
      </c>
      <c r="B355" s="279" t="s">
        <v>681</v>
      </c>
      <c r="C355" s="74" t="s">
        <v>183</v>
      </c>
      <c r="D355" s="13" t="s">
        <v>1589</v>
      </c>
      <c r="E355" s="13" t="s">
        <v>392</v>
      </c>
      <c r="F355" s="13" t="s">
        <v>1441</v>
      </c>
      <c r="G355" s="13" t="s">
        <v>1183</v>
      </c>
      <c r="H355" s="17" t="s">
        <v>1586</v>
      </c>
      <c r="I355" s="12"/>
      <c r="J355" s="12"/>
      <c r="K355" s="201">
        <f t="shared" si="81"/>
        <v>37744</v>
      </c>
      <c r="L355" s="223">
        <v>7550</v>
      </c>
      <c r="M355" s="223">
        <v>0</v>
      </c>
      <c r="N355" s="223">
        <v>0</v>
      </c>
      <c r="O355" s="223">
        <v>0</v>
      </c>
      <c r="P355" s="223">
        <v>30194</v>
      </c>
      <c r="Q355" s="202">
        <v>0</v>
      </c>
      <c r="R355" s="213" t="s">
        <v>1318</v>
      </c>
      <c r="S355" s="214" t="s">
        <v>1345</v>
      </c>
      <c r="T355" s="214" t="s">
        <v>1323</v>
      </c>
      <c r="U355" s="214">
        <v>2018</v>
      </c>
      <c r="V355" s="110"/>
      <c r="W355" s="110"/>
      <c r="X355" s="110"/>
    </row>
    <row r="356" spans="1:24" ht="39" customHeight="1" x14ac:dyDescent="0.25">
      <c r="A356" s="23" t="s">
        <v>184</v>
      </c>
      <c r="B356" s="279" t="s">
        <v>682</v>
      </c>
      <c r="C356" s="74" t="s">
        <v>185</v>
      </c>
      <c r="D356" s="13" t="s">
        <v>1589</v>
      </c>
      <c r="E356" s="13" t="s">
        <v>392</v>
      </c>
      <c r="F356" s="13" t="s">
        <v>1441</v>
      </c>
      <c r="G356" s="13" t="s">
        <v>1183</v>
      </c>
      <c r="H356" s="17" t="s">
        <v>1586</v>
      </c>
      <c r="I356" s="12"/>
      <c r="J356" s="12"/>
      <c r="K356" s="201">
        <f t="shared" si="81"/>
        <v>48518</v>
      </c>
      <c r="L356" s="223">
        <v>9704</v>
      </c>
      <c r="M356" s="223">
        <v>0</v>
      </c>
      <c r="N356" s="223">
        <v>0</v>
      </c>
      <c r="O356" s="223">
        <v>0</v>
      </c>
      <c r="P356" s="223">
        <v>38814</v>
      </c>
      <c r="Q356" s="202">
        <v>0</v>
      </c>
      <c r="R356" s="213" t="s">
        <v>1318</v>
      </c>
      <c r="S356" s="214" t="s">
        <v>1345</v>
      </c>
      <c r="T356" s="214" t="s">
        <v>1323</v>
      </c>
      <c r="U356" s="214">
        <v>2018</v>
      </c>
      <c r="V356" s="110"/>
      <c r="W356" s="110"/>
      <c r="X356" s="110"/>
    </row>
    <row r="357" spans="1:24" ht="39" customHeight="1" x14ac:dyDescent="0.25">
      <c r="A357" s="23" t="s">
        <v>186</v>
      </c>
      <c r="B357" s="279" t="s">
        <v>683</v>
      </c>
      <c r="C357" s="74" t="s">
        <v>187</v>
      </c>
      <c r="D357" s="13" t="s">
        <v>1589</v>
      </c>
      <c r="E357" s="13" t="s">
        <v>392</v>
      </c>
      <c r="F357" s="13" t="s">
        <v>1441</v>
      </c>
      <c r="G357" s="13" t="s">
        <v>1183</v>
      </c>
      <c r="H357" s="17" t="s">
        <v>1586</v>
      </c>
      <c r="I357" s="12"/>
      <c r="J357" s="12"/>
      <c r="K357" s="201">
        <f t="shared" si="81"/>
        <v>137169</v>
      </c>
      <c r="L357" s="223">
        <v>27434</v>
      </c>
      <c r="M357" s="223">
        <v>0</v>
      </c>
      <c r="N357" s="223">
        <v>0</v>
      </c>
      <c r="O357" s="223">
        <v>0</v>
      </c>
      <c r="P357" s="223">
        <v>109735</v>
      </c>
      <c r="Q357" s="202">
        <v>0</v>
      </c>
      <c r="R357" s="213" t="s">
        <v>1318</v>
      </c>
      <c r="S357" s="214" t="s">
        <v>1345</v>
      </c>
      <c r="T357" s="214" t="s">
        <v>1323</v>
      </c>
      <c r="U357" s="214">
        <v>2018</v>
      </c>
      <c r="V357" s="110"/>
      <c r="W357" s="110"/>
      <c r="X357" s="110"/>
    </row>
    <row r="358" spans="1:24" ht="39" customHeight="1" x14ac:dyDescent="0.25">
      <c r="A358" s="23" t="s">
        <v>188</v>
      </c>
      <c r="B358" s="279" t="s">
        <v>684</v>
      </c>
      <c r="C358" s="74" t="s">
        <v>189</v>
      </c>
      <c r="D358" s="13" t="s">
        <v>1589</v>
      </c>
      <c r="E358" s="13" t="s">
        <v>392</v>
      </c>
      <c r="F358" s="13" t="s">
        <v>1441</v>
      </c>
      <c r="G358" s="13" t="s">
        <v>1183</v>
      </c>
      <c r="H358" s="17" t="s">
        <v>1586</v>
      </c>
      <c r="I358" s="12"/>
      <c r="J358" s="12"/>
      <c r="K358" s="201">
        <f t="shared" si="81"/>
        <v>31279</v>
      </c>
      <c r="L358" s="223">
        <v>6256</v>
      </c>
      <c r="M358" s="223">
        <v>0</v>
      </c>
      <c r="N358" s="223">
        <v>0</v>
      </c>
      <c r="O358" s="223">
        <v>0</v>
      </c>
      <c r="P358" s="223">
        <v>25023</v>
      </c>
      <c r="Q358" s="202">
        <v>0</v>
      </c>
      <c r="R358" s="213" t="s">
        <v>1318</v>
      </c>
      <c r="S358" s="214" t="s">
        <v>1345</v>
      </c>
      <c r="T358" s="214" t="s">
        <v>1323</v>
      </c>
      <c r="U358" s="214">
        <v>2018</v>
      </c>
      <c r="V358" s="110"/>
      <c r="W358" s="110"/>
      <c r="X358" s="110"/>
    </row>
    <row r="359" spans="1:24" ht="54" customHeight="1" x14ac:dyDescent="0.25">
      <c r="A359" s="23" t="s">
        <v>190</v>
      </c>
      <c r="B359" s="279" t="s">
        <v>685</v>
      </c>
      <c r="C359" s="74" t="s">
        <v>191</v>
      </c>
      <c r="D359" s="13" t="s">
        <v>1589</v>
      </c>
      <c r="E359" s="13" t="s">
        <v>392</v>
      </c>
      <c r="F359" s="13" t="s">
        <v>1441</v>
      </c>
      <c r="G359" s="13" t="s">
        <v>1183</v>
      </c>
      <c r="H359" s="17" t="s">
        <v>1586</v>
      </c>
      <c r="I359" s="12"/>
      <c r="J359" s="12"/>
      <c r="K359" s="201">
        <f t="shared" si="81"/>
        <v>19350</v>
      </c>
      <c r="L359" s="223">
        <v>3870</v>
      </c>
      <c r="M359" s="223">
        <v>0</v>
      </c>
      <c r="N359" s="223">
        <v>0</v>
      </c>
      <c r="O359" s="223">
        <v>0</v>
      </c>
      <c r="P359" s="223">
        <v>15480</v>
      </c>
      <c r="Q359" s="202">
        <v>0</v>
      </c>
      <c r="R359" s="213" t="s">
        <v>1318</v>
      </c>
      <c r="S359" s="214" t="s">
        <v>1345</v>
      </c>
      <c r="T359" s="214" t="s">
        <v>1323</v>
      </c>
      <c r="U359" s="214">
        <v>2018</v>
      </c>
      <c r="V359" s="110"/>
      <c r="W359" s="110"/>
      <c r="X359" s="110"/>
    </row>
    <row r="360" spans="1:24" ht="54" customHeight="1" x14ac:dyDescent="0.25">
      <c r="A360" s="23" t="s">
        <v>192</v>
      </c>
      <c r="B360" s="279" t="s">
        <v>686</v>
      </c>
      <c r="C360" s="74" t="s">
        <v>193</v>
      </c>
      <c r="D360" s="13" t="s">
        <v>1589</v>
      </c>
      <c r="E360" s="13" t="s">
        <v>392</v>
      </c>
      <c r="F360" s="13" t="s">
        <v>1441</v>
      </c>
      <c r="G360" s="13" t="s">
        <v>1183</v>
      </c>
      <c r="H360" s="17" t="s">
        <v>1586</v>
      </c>
      <c r="I360" s="12"/>
      <c r="J360" s="12"/>
      <c r="K360" s="201">
        <f t="shared" si="81"/>
        <v>19477</v>
      </c>
      <c r="L360" s="223">
        <v>3896</v>
      </c>
      <c r="M360" s="223">
        <v>0</v>
      </c>
      <c r="N360" s="223">
        <v>0</v>
      </c>
      <c r="O360" s="223">
        <v>0</v>
      </c>
      <c r="P360" s="223">
        <v>15581</v>
      </c>
      <c r="Q360" s="202">
        <v>0</v>
      </c>
      <c r="R360" s="213" t="s">
        <v>1318</v>
      </c>
      <c r="S360" s="214" t="s">
        <v>1345</v>
      </c>
      <c r="T360" s="214" t="s">
        <v>1323</v>
      </c>
      <c r="U360" s="214">
        <v>2018</v>
      </c>
      <c r="V360" s="110"/>
      <c r="W360" s="110"/>
      <c r="X360" s="110"/>
    </row>
    <row r="361" spans="1:24" ht="54" customHeight="1" x14ac:dyDescent="0.25">
      <c r="A361" s="23" t="s">
        <v>194</v>
      </c>
      <c r="B361" s="279" t="s">
        <v>687</v>
      </c>
      <c r="C361" s="74" t="s">
        <v>195</v>
      </c>
      <c r="D361" s="13" t="s">
        <v>1589</v>
      </c>
      <c r="E361" s="13" t="s">
        <v>392</v>
      </c>
      <c r="F361" s="13" t="s">
        <v>1441</v>
      </c>
      <c r="G361" s="13" t="s">
        <v>1183</v>
      </c>
      <c r="H361" s="17" t="s">
        <v>1586</v>
      </c>
      <c r="I361" s="12"/>
      <c r="J361" s="12"/>
      <c r="K361" s="201">
        <f t="shared" si="81"/>
        <v>23504</v>
      </c>
      <c r="L361" s="223">
        <v>4701</v>
      </c>
      <c r="M361" s="223">
        <v>0</v>
      </c>
      <c r="N361" s="223">
        <v>0</v>
      </c>
      <c r="O361" s="223">
        <v>0</v>
      </c>
      <c r="P361" s="223">
        <v>18803</v>
      </c>
      <c r="Q361" s="202">
        <v>0</v>
      </c>
      <c r="R361" s="213" t="s">
        <v>1318</v>
      </c>
      <c r="S361" s="214" t="s">
        <v>1345</v>
      </c>
      <c r="T361" s="214" t="s">
        <v>1323</v>
      </c>
      <c r="U361" s="214">
        <v>2018</v>
      </c>
      <c r="V361" s="110"/>
      <c r="W361" s="110"/>
      <c r="X361" s="110"/>
    </row>
    <row r="362" spans="1:24" ht="54" customHeight="1" x14ac:dyDescent="0.25">
      <c r="A362" s="23" t="s">
        <v>196</v>
      </c>
      <c r="B362" s="279" t="s">
        <v>688</v>
      </c>
      <c r="C362" s="74" t="s">
        <v>197</v>
      </c>
      <c r="D362" s="13" t="s">
        <v>1589</v>
      </c>
      <c r="E362" s="13" t="s">
        <v>392</v>
      </c>
      <c r="F362" s="13" t="s">
        <v>1441</v>
      </c>
      <c r="G362" s="13" t="s">
        <v>1183</v>
      </c>
      <c r="H362" s="17" t="s">
        <v>1586</v>
      </c>
      <c r="I362" s="12"/>
      <c r="J362" s="12"/>
      <c r="K362" s="201">
        <f t="shared" si="81"/>
        <v>36809</v>
      </c>
      <c r="L362" s="223">
        <v>7362</v>
      </c>
      <c r="M362" s="223">
        <v>0</v>
      </c>
      <c r="N362" s="223">
        <v>0</v>
      </c>
      <c r="O362" s="223">
        <v>0</v>
      </c>
      <c r="P362" s="223">
        <v>29447</v>
      </c>
      <c r="Q362" s="202">
        <v>0</v>
      </c>
      <c r="R362" s="213" t="s">
        <v>1318</v>
      </c>
      <c r="S362" s="214" t="s">
        <v>1345</v>
      </c>
      <c r="T362" s="214" t="s">
        <v>1323</v>
      </c>
      <c r="U362" s="214">
        <v>2018</v>
      </c>
      <c r="V362" s="110"/>
      <c r="W362" s="110"/>
      <c r="X362" s="110"/>
    </row>
    <row r="363" spans="1:24" ht="54" customHeight="1" x14ac:dyDescent="0.25">
      <c r="A363" s="23" t="s">
        <v>198</v>
      </c>
      <c r="B363" s="279" t="s">
        <v>689</v>
      </c>
      <c r="C363" s="74" t="s">
        <v>199</v>
      </c>
      <c r="D363" s="13" t="s">
        <v>1589</v>
      </c>
      <c r="E363" s="13" t="s">
        <v>392</v>
      </c>
      <c r="F363" s="13" t="s">
        <v>1441</v>
      </c>
      <c r="G363" s="13" t="s">
        <v>1183</v>
      </c>
      <c r="H363" s="17" t="s">
        <v>1586</v>
      </c>
      <c r="I363" s="12"/>
      <c r="J363" s="12"/>
      <c r="K363" s="201">
        <f t="shared" si="81"/>
        <v>55358</v>
      </c>
      <c r="L363" s="223">
        <v>11072</v>
      </c>
      <c r="M363" s="223">
        <v>0</v>
      </c>
      <c r="N363" s="223">
        <v>0</v>
      </c>
      <c r="O363" s="223">
        <v>0</v>
      </c>
      <c r="P363" s="223">
        <v>44286</v>
      </c>
      <c r="Q363" s="202">
        <v>0</v>
      </c>
      <c r="R363" s="213" t="s">
        <v>1318</v>
      </c>
      <c r="S363" s="214" t="s">
        <v>1345</v>
      </c>
      <c r="T363" s="214" t="s">
        <v>1323</v>
      </c>
      <c r="U363" s="214">
        <v>2018</v>
      </c>
      <c r="V363" s="110"/>
      <c r="W363" s="110"/>
      <c r="X363" s="110"/>
    </row>
    <row r="364" spans="1:24" ht="54" customHeight="1" x14ac:dyDescent="0.25">
      <c r="A364" s="23" t="s">
        <v>200</v>
      </c>
      <c r="B364" s="279" t="s">
        <v>690</v>
      </c>
      <c r="C364" s="74" t="s">
        <v>201</v>
      </c>
      <c r="D364" s="13" t="s">
        <v>1589</v>
      </c>
      <c r="E364" s="13" t="s">
        <v>392</v>
      </c>
      <c r="F364" s="13" t="s">
        <v>1441</v>
      </c>
      <c r="G364" s="13" t="s">
        <v>1183</v>
      </c>
      <c r="H364" s="17" t="s">
        <v>1586</v>
      </c>
      <c r="I364" s="12"/>
      <c r="J364" s="12"/>
      <c r="K364" s="201">
        <f t="shared" si="81"/>
        <v>87203</v>
      </c>
      <c r="L364" s="223">
        <v>17441</v>
      </c>
      <c r="M364" s="223">
        <v>0</v>
      </c>
      <c r="N364" s="223">
        <v>0</v>
      </c>
      <c r="O364" s="223">
        <v>0</v>
      </c>
      <c r="P364" s="223">
        <v>69762</v>
      </c>
      <c r="Q364" s="202">
        <v>0</v>
      </c>
      <c r="R364" s="213" t="s">
        <v>1318</v>
      </c>
      <c r="S364" s="214" t="s">
        <v>1345</v>
      </c>
      <c r="T364" s="214" t="s">
        <v>1323</v>
      </c>
      <c r="U364" s="214">
        <v>2018</v>
      </c>
      <c r="V364" s="110"/>
      <c r="W364" s="110"/>
      <c r="X364" s="110"/>
    </row>
    <row r="365" spans="1:24" ht="54" customHeight="1" x14ac:dyDescent="0.25">
      <c r="A365" s="23" t="s">
        <v>202</v>
      </c>
      <c r="B365" s="279" t="s">
        <v>691</v>
      </c>
      <c r="C365" s="74" t="s">
        <v>203</v>
      </c>
      <c r="D365" s="13" t="s">
        <v>1589</v>
      </c>
      <c r="E365" s="13" t="s">
        <v>392</v>
      </c>
      <c r="F365" s="13" t="s">
        <v>1441</v>
      </c>
      <c r="G365" s="13" t="s">
        <v>1183</v>
      </c>
      <c r="H365" s="17" t="s">
        <v>1586</v>
      </c>
      <c r="I365" s="12"/>
      <c r="J365" s="12"/>
      <c r="K365" s="201">
        <f t="shared" si="81"/>
        <v>250000</v>
      </c>
      <c r="L365" s="223">
        <v>50000</v>
      </c>
      <c r="M365" s="223">
        <v>0</v>
      </c>
      <c r="N365" s="223">
        <v>0</v>
      </c>
      <c r="O365" s="223">
        <v>0</v>
      </c>
      <c r="P365" s="223">
        <v>200000</v>
      </c>
      <c r="Q365" s="202">
        <v>0</v>
      </c>
      <c r="R365" s="213" t="s">
        <v>1318</v>
      </c>
      <c r="S365" s="214" t="s">
        <v>1345</v>
      </c>
      <c r="T365" s="214" t="s">
        <v>1323</v>
      </c>
      <c r="U365" s="214">
        <v>2019</v>
      </c>
      <c r="V365" s="110"/>
      <c r="W365" s="110"/>
      <c r="X365" s="110"/>
    </row>
    <row r="366" spans="1:24" ht="54" customHeight="1" x14ac:dyDescent="0.25">
      <c r="A366" s="23" t="s">
        <v>205</v>
      </c>
      <c r="B366" s="279" t="s">
        <v>692</v>
      </c>
      <c r="C366" s="74" t="s">
        <v>204</v>
      </c>
      <c r="D366" s="13" t="s">
        <v>1589</v>
      </c>
      <c r="E366" s="13" t="s">
        <v>392</v>
      </c>
      <c r="F366" s="13" t="s">
        <v>1441</v>
      </c>
      <c r="G366" s="13" t="s">
        <v>1183</v>
      </c>
      <c r="H366" s="17" t="s">
        <v>1586</v>
      </c>
      <c r="I366" s="12"/>
      <c r="J366" s="12"/>
      <c r="K366" s="201">
        <f t="shared" si="81"/>
        <v>200000</v>
      </c>
      <c r="L366" s="223">
        <v>40000</v>
      </c>
      <c r="M366" s="223">
        <v>0</v>
      </c>
      <c r="N366" s="223">
        <v>0</v>
      </c>
      <c r="O366" s="223">
        <v>0</v>
      </c>
      <c r="P366" s="223">
        <v>160000</v>
      </c>
      <c r="Q366" s="202">
        <v>0</v>
      </c>
      <c r="R366" s="213" t="s">
        <v>1318</v>
      </c>
      <c r="S366" s="214" t="s">
        <v>1345</v>
      </c>
      <c r="T366" s="214" t="s">
        <v>1323</v>
      </c>
      <c r="U366" s="214">
        <v>2019</v>
      </c>
      <c r="V366" s="110"/>
      <c r="W366" s="110"/>
      <c r="X366" s="110"/>
    </row>
    <row r="367" spans="1:24" ht="54" customHeight="1" x14ac:dyDescent="0.25">
      <c r="A367" s="23" t="s">
        <v>206</v>
      </c>
      <c r="B367" s="279" t="s">
        <v>693</v>
      </c>
      <c r="C367" s="74" t="s">
        <v>207</v>
      </c>
      <c r="D367" s="13" t="s">
        <v>1589</v>
      </c>
      <c r="E367" s="13" t="s">
        <v>392</v>
      </c>
      <c r="F367" s="13" t="s">
        <v>1441</v>
      </c>
      <c r="G367" s="13" t="s">
        <v>1183</v>
      </c>
      <c r="H367" s="17" t="s">
        <v>1586</v>
      </c>
      <c r="I367" s="12"/>
      <c r="J367" s="12"/>
      <c r="K367" s="201">
        <f t="shared" si="81"/>
        <v>250000</v>
      </c>
      <c r="L367" s="223">
        <v>50000</v>
      </c>
      <c r="M367" s="223">
        <v>0</v>
      </c>
      <c r="N367" s="223">
        <v>0</v>
      </c>
      <c r="O367" s="223">
        <v>0</v>
      </c>
      <c r="P367" s="223">
        <v>200000</v>
      </c>
      <c r="Q367" s="202">
        <v>0</v>
      </c>
      <c r="R367" s="213" t="s">
        <v>1318</v>
      </c>
      <c r="S367" s="214" t="s">
        <v>1345</v>
      </c>
      <c r="T367" s="214" t="s">
        <v>1323</v>
      </c>
      <c r="U367" s="214">
        <v>2019</v>
      </c>
      <c r="V367" s="110"/>
      <c r="W367" s="110"/>
      <c r="X367" s="110"/>
    </row>
    <row r="368" spans="1:24" ht="54" customHeight="1" x14ac:dyDescent="0.25">
      <c r="A368" s="23" t="s">
        <v>208</v>
      </c>
      <c r="B368" s="279" t="s">
        <v>694</v>
      </c>
      <c r="C368" s="74" t="s">
        <v>209</v>
      </c>
      <c r="D368" s="13" t="s">
        <v>1589</v>
      </c>
      <c r="E368" s="13" t="s">
        <v>392</v>
      </c>
      <c r="F368" s="13" t="s">
        <v>1441</v>
      </c>
      <c r="G368" s="13" t="s">
        <v>1183</v>
      </c>
      <c r="H368" s="17" t="s">
        <v>1586</v>
      </c>
      <c r="I368" s="12"/>
      <c r="J368" s="12"/>
      <c r="K368" s="201">
        <f t="shared" si="81"/>
        <v>80000</v>
      </c>
      <c r="L368" s="223">
        <v>16000</v>
      </c>
      <c r="M368" s="223">
        <v>0</v>
      </c>
      <c r="N368" s="223">
        <v>0</v>
      </c>
      <c r="O368" s="223">
        <v>0</v>
      </c>
      <c r="P368" s="223">
        <v>64000</v>
      </c>
      <c r="Q368" s="202">
        <v>0</v>
      </c>
      <c r="R368" s="213" t="s">
        <v>1318</v>
      </c>
      <c r="S368" s="214" t="s">
        <v>1345</v>
      </c>
      <c r="T368" s="214" t="s">
        <v>1323</v>
      </c>
      <c r="U368" s="214">
        <v>2019</v>
      </c>
      <c r="V368" s="110"/>
      <c r="W368" s="110"/>
      <c r="X368" s="110"/>
    </row>
    <row r="369" spans="1:24" ht="54" customHeight="1" x14ac:dyDescent="0.25">
      <c r="A369" s="23" t="s">
        <v>210</v>
      </c>
      <c r="B369" s="279" t="s">
        <v>695</v>
      </c>
      <c r="C369" s="74" t="s">
        <v>211</v>
      </c>
      <c r="D369" s="13" t="s">
        <v>212</v>
      </c>
      <c r="E369" s="13" t="s">
        <v>392</v>
      </c>
      <c r="F369" s="13" t="s">
        <v>1456</v>
      </c>
      <c r="G369" s="13" t="s">
        <v>1183</v>
      </c>
      <c r="H369" s="17" t="s">
        <v>1586</v>
      </c>
      <c r="I369" s="12"/>
      <c r="J369" s="12"/>
      <c r="K369" s="201">
        <f t="shared" si="81"/>
        <v>57600</v>
      </c>
      <c r="L369" s="223">
        <v>0</v>
      </c>
      <c r="M369" s="223">
        <v>0</v>
      </c>
      <c r="N369" s="223">
        <v>11520</v>
      </c>
      <c r="O369" s="223">
        <v>0</v>
      </c>
      <c r="P369" s="223">
        <v>46080</v>
      </c>
      <c r="Q369" s="202">
        <v>0</v>
      </c>
      <c r="R369" s="213" t="s">
        <v>1318</v>
      </c>
      <c r="S369" s="214" t="s">
        <v>1345</v>
      </c>
      <c r="T369" s="214" t="s">
        <v>1344</v>
      </c>
      <c r="U369" s="214">
        <v>2020</v>
      </c>
      <c r="V369" s="110"/>
      <c r="W369" s="110"/>
      <c r="X369" s="110"/>
    </row>
    <row r="370" spans="1:24" ht="54" customHeight="1" x14ac:dyDescent="0.25">
      <c r="A370" s="23" t="s">
        <v>213</v>
      </c>
      <c r="B370" s="279" t="s">
        <v>696</v>
      </c>
      <c r="C370" s="74" t="s">
        <v>1493</v>
      </c>
      <c r="D370" s="13" t="s">
        <v>212</v>
      </c>
      <c r="E370" s="13" t="s">
        <v>392</v>
      </c>
      <c r="F370" s="13" t="s">
        <v>1456</v>
      </c>
      <c r="G370" s="13" t="s">
        <v>1183</v>
      </c>
      <c r="H370" s="17" t="s">
        <v>1586</v>
      </c>
      <c r="I370" s="12"/>
      <c r="J370" s="12"/>
      <c r="K370" s="201">
        <f t="shared" si="81"/>
        <v>67200</v>
      </c>
      <c r="L370" s="223">
        <v>0</v>
      </c>
      <c r="M370" s="223">
        <v>0</v>
      </c>
      <c r="N370" s="223">
        <v>13440</v>
      </c>
      <c r="O370" s="223">
        <v>0</v>
      </c>
      <c r="P370" s="223">
        <v>53760</v>
      </c>
      <c r="Q370" s="202">
        <v>0</v>
      </c>
      <c r="R370" s="213" t="s">
        <v>1318</v>
      </c>
      <c r="S370" s="214" t="s">
        <v>1345</v>
      </c>
      <c r="T370" s="214" t="s">
        <v>1344</v>
      </c>
      <c r="U370" s="214">
        <v>2020</v>
      </c>
      <c r="V370" s="110"/>
      <c r="W370" s="110"/>
      <c r="X370" s="110"/>
    </row>
    <row r="371" spans="1:24" ht="54" customHeight="1" x14ac:dyDescent="0.25">
      <c r="A371" s="23" t="s">
        <v>1494</v>
      </c>
      <c r="B371" s="279" t="s">
        <v>697</v>
      </c>
      <c r="C371" s="74" t="s">
        <v>1495</v>
      </c>
      <c r="D371" s="13" t="s">
        <v>212</v>
      </c>
      <c r="E371" s="13" t="s">
        <v>392</v>
      </c>
      <c r="F371" s="13" t="s">
        <v>1456</v>
      </c>
      <c r="G371" s="13" t="s">
        <v>1183</v>
      </c>
      <c r="H371" s="17" t="s">
        <v>1586</v>
      </c>
      <c r="I371" s="12"/>
      <c r="J371" s="12"/>
      <c r="K371" s="201">
        <f t="shared" si="81"/>
        <v>57600</v>
      </c>
      <c r="L371" s="223">
        <v>0</v>
      </c>
      <c r="M371" s="223">
        <v>0</v>
      </c>
      <c r="N371" s="223">
        <v>11520</v>
      </c>
      <c r="O371" s="223">
        <v>0</v>
      </c>
      <c r="P371" s="223">
        <v>46080</v>
      </c>
      <c r="Q371" s="202">
        <v>0</v>
      </c>
      <c r="R371" s="213" t="s">
        <v>1318</v>
      </c>
      <c r="S371" s="214" t="s">
        <v>1345</v>
      </c>
      <c r="T371" s="214" t="s">
        <v>1344</v>
      </c>
      <c r="U371" s="214">
        <v>2020</v>
      </c>
      <c r="V371" s="110"/>
      <c r="W371" s="110"/>
      <c r="X371" s="110"/>
    </row>
    <row r="372" spans="1:24" ht="54" customHeight="1" x14ac:dyDescent="0.25">
      <c r="A372" s="23" t="s">
        <v>1496</v>
      </c>
      <c r="B372" s="279" t="s">
        <v>698</v>
      </c>
      <c r="C372" s="74" t="s">
        <v>1497</v>
      </c>
      <c r="D372" s="13" t="s">
        <v>212</v>
      </c>
      <c r="E372" s="13" t="s">
        <v>392</v>
      </c>
      <c r="F372" s="13" t="s">
        <v>1456</v>
      </c>
      <c r="G372" s="13" t="s">
        <v>1183</v>
      </c>
      <c r="H372" s="17" t="s">
        <v>1586</v>
      </c>
      <c r="I372" s="12"/>
      <c r="J372" s="12"/>
      <c r="K372" s="201">
        <f t="shared" si="81"/>
        <v>57600</v>
      </c>
      <c r="L372" s="223">
        <v>0</v>
      </c>
      <c r="M372" s="223">
        <v>0</v>
      </c>
      <c r="N372" s="223">
        <v>11520</v>
      </c>
      <c r="O372" s="223">
        <v>0</v>
      </c>
      <c r="P372" s="223">
        <v>46080</v>
      </c>
      <c r="Q372" s="202">
        <v>0</v>
      </c>
      <c r="R372" s="213" t="s">
        <v>1318</v>
      </c>
      <c r="S372" s="214" t="s">
        <v>1345</v>
      </c>
      <c r="T372" s="214" t="s">
        <v>1344</v>
      </c>
      <c r="U372" s="214">
        <v>2020</v>
      </c>
      <c r="V372" s="110"/>
      <c r="W372" s="110"/>
      <c r="X372" s="110"/>
    </row>
    <row r="373" spans="1:24" ht="54" customHeight="1" x14ac:dyDescent="0.25">
      <c r="A373" s="23" t="s">
        <v>1498</v>
      </c>
      <c r="B373" s="279" t="s">
        <v>699</v>
      </c>
      <c r="C373" s="74" t="s">
        <v>1499</v>
      </c>
      <c r="D373" s="13" t="s">
        <v>212</v>
      </c>
      <c r="E373" s="13" t="s">
        <v>392</v>
      </c>
      <c r="F373" s="13" t="s">
        <v>1456</v>
      </c>
      <c r="G373" s="13" t="s">
        <v>1183</v>
      </c>
      <c r="H373" s="17" t="s">
        <v>1586</v>
      </c>
      <c r="I373" s="12"/>
      <c r="J373" s="12"/>
      <c r="K373" s="201">
        <f t="shared" si="81"/>
        <v>67200</v>
      </c>
      <c r="L373" s="223">
        <v>0</v>
      </c>
      <c r="M373" s="223">
        <v>0</v>
      </c>
      <c r="N373" s="223">
        <v>13440</v>
      </c>
      <c r="O373" s="223">
        <v>0</v>
      </c>
      <c r="P373" s="223">
        <v>53760</v>
      </c>
      <c r="Q373" s="202">
        <v>0</v>
      </c>
      <c r="R373" s="213" t="s">
        <v>1318</v>
      </c>
      <c r="S373" s="214" t="s">
        <v>1345</v>
      </c>
      <c r="T373" s="214" t="s">
        <v>1344</v>
      </c>
      <c r="U373" s="214">
        <v>2020</v>
      </c>
      <c r="V373" s="110"/>
      <c r="W373" s="110"/>
      <c r="X373" s="110"/>
    </row>
    <row r="374" spans="1:24" ht="54" customHeight="1" x14ac:dyDescent="0.25">
      <c r="A374" s="23" t="s">
        <v>1500</v>
      </c>
      <c r="B374" s="279" t="s">
        <v>700</v>
      </c>
      <c r="C374" s="74" t="s">
        <v>1501</v>
      </c>
      <c r="D374" s="13" t="s">
        <v>212</v>
      </c>
      <c r="E374" s="13" t="s">
        <v>392</v>
      </c>
      <c r="F374" s="13" t="s">
        <v>1456</v>
      </c>
      <c r="G374" s="13" t="s">
        <v>1183</v>
      </c>
      <c r="H374" s="17" t="s">
        <v>1586</v>
      </c>
      <c r="I374" s="12"/>
      <c r="J374" s="12"/>
      <c r="K374" s="201">
        <f t="shared" si="81"/>
        <v>67200</v>
      </c>
      <c r="L374" s="223">
        <v>0</v>
      </c>
      <c r="M374" s="223">
        <v>0</v>
      </c>
      <c r="N374" s="223">
        <v>13440</v>
      </c>
      <c r="O374" s="223">
        <v>0</v>
      </c>
      <c r="P374" s="223">
        <v>53760</v>
      </c>
      <c r="Q374" s="202">
        <v>0</v>
      </c>
      <c r="R374" s="213" t="s">
        <v>1318</v>
      </c>
      <c r="S374" s="214" t="s">
        <v>1345</v>
      </c>
      <c r="T374" s="214" t="s">
        <v>1344</v>
      </c>
      <c r="U374" s="214">
        <v>2020</v>
      </c>
      <c r="V374" s="110"/>
      <c r="W374" s="110"/>
      <c r="X374" s="110"/>
    </row>
    <row r="375" spans="1:24" ht="54" customHeight="1" x14ac:dyDescent="0.25">
      <c r="A375" s="23" t="s">
        <v>1502</v>
      </c>
      <c r="B375" s="279" t="s">
        <v>701</v>
      </c>
      <c r="C375" s="74" t="s">
        <v>1503</v>
      </c>
      <c r="D375" s="13" t="s">
        <v>212</v>
      </c>
      <c r="E375" s="13" t="s">
        <v>392</v>
      </c>
      <c r="F375" s="13" t="s">
        <v>1456</v>
      </c>
      <c r="G375" s="13" t="s">
        <v>1183</v>
      </c>
      <c r="H375" s="17" t="s">
        <v>1586</v>
      </c>
      <c r="I375" s="12"/>
      <c r="J375" s="12"/>
      <c r="K375" s="201">
        <f t="shared" si="81"/>
        <v>55737.5</v>
      </c>
      <c r="L375" s="223">
        <v>0</v>
      </c>
      <c r="M375" s="223">
        <v>0</v>
      </c>
      <c r="N375" s="223">
        <v>11147.5</v>
      </c>
      <c r="O375" s="223">
        <v>0</v>
      </c>
      <c r="P375" s="223">
        <v>44590</v>
      </c>
      <c r="Q375" s="202">
        <v>0</v>
      </c>
      <c r="R375" s="213" t="s">
        <v>1318</v>
      </c>
      <c r="S375" s="214" t="s">
        <v>1345</v>
      </c>
      <c r="T375" s="214" t="s">
        <v>1344</v>
      </c>
      <c r="U375" s="214">
        <v>2020</v>
      </c>
      <c r="V375" s="110"/>
      <c r="W375" s="110"/>
      <c r="X375" s="110"/>
    </row>
    <row r="376" spans="1:24" ht="39" customHeight="1" x14ac:dyDescent="0.25">
      <c r="A376" s="23" t="s">
        <v>1504</v>
      </c>
      <c r="B376" s="279" t="s">
        <v>702</v>
      </c>
      <c r="C376" s="74" t="s">
        <v>1505</v>
      </c>
      <c r="D376" s="13" t="s">
        <v>1580</v>
      </c>
      <c r="E376" s="13" t="s">
        <v>392</v>
      </c>
      <c r="F376" s="13" t="s">
        <v>1456</v>
      </c>
      <c r="G376" s="13" t="s">
        <v>1183</v>
      </c>
      <c r="H376" s="17" t="s">
        <v>1586</v>
      </c>
      <c r="I376" s="12"/>
      <c r="J376" s="12"/>
      <c r="K376" s="201">
        <f t="shared" si="81"/>
        <v>200000</v>
      </c>
      <c r="L376" s="223">
        <v>40000</v>
      </c>
      <c r="M376" s="223">
        <v>0</v>
      </c>
      <c r="N376" s="223">
        <v>0</v>
      </c>
      <c r="O376" s="223">
        <v>0</v>
      </c>
      <c r="P376" s="223">
        <v>160000</v>
      </c>
      <c r="Q376" s="202">
        <v>0</v>
      </c>
      <c r="R376" s="213" t="s">
        <v>1318</v>
      </c>
      <c r="S376" s="214" t="s">
        <v>1345</v>
      </c>
      <c r="T376" s="214" t="s">
        <v>1344</v>
      </c>
      <c r="U376" s="214">
        <v>2020</v>
      </c>
      <c r="V376" s="110"/>
      <c r="W376" s="110"/>
      <c r="X376" s="110"/>
    </row>
    <row r="377" spans="1:24" ht="39" customHeight="1" x14ac:dyDescent="0.25">
      <c r="A377" s="23" t="s">
        <v>1506</v>
      </c>
      <c r="B377" s="279" t="s">
        <v>703</v>
      </c>
      <c r="C377" s="74" t="s">
        <v>1507</v>
      </c>
      <c r="D377" s="13" t="s">
        <v>1580</v>
      </c>
      <c r="E377" s="13" t="s">
        <v>392</v>
      </c>
      <c r="F377" s="13" t="s">
        <v>1456</v>
      </c>
      <c r="G377" s="13" t="s">
        <v>1183</v>
      </c>
      <c r="H377" s="17" t="s">
        <v>1586</v>
      </c>
      <c r="I377" s="12"/>
      <c r="J377" s="12"/>
      <c r="K377" s="201">
        <f t="shared" si="81"/>
        <v>80900</v>
      </c>
      <c r="L377" s="223">
        <v>16180</v>
      </c>
      <c r="M377" s="223">
        <v>0</v>
      </c>
      <c r="N377" s="223">
        <v>0</v>
      </c>
      <c r="O377" s="223">
        <v>0</v>
      </c>
      <c r="P377" s="223">
        <v>64720</v>
      </c>
      <c r="Q377" s="202">
        <v>0</v>
      </c>
      <c r="R377" s="213" t="s">
        <v>1318</v>
      </c>
      <c r="S377" s="214" t="s">
        <v>1345</v>
      </c>
      <c r="T377" s="214" t="s">
        <v>1344</v>
      </c>
      <c r="U377" s="214">
        <v>2020</v>
      </c>
      <c r="V377" s="110"/>
      <c r="W377" s="110"/>
      <c r="X377" s="110"/>
    </row>
    <row r="378" spans="1:24" ht="39" customHeight="1" x14ac:dyDescent="0.25">
      <c r="A378" s="23" t="s">
        <v>1511</v>
      </c>
      <c r="B378" s="279" t="s">
        <v>704</v>
      </c>
      <c r="C378" s="74" t="s">
        <v>1519</v>
      </c>
      <c r="D378" s="13" t="s">
        <v>1590</v>
      </c>
      <c r="E378" s="13" t="s">
        <v>392</v>
      </c>
      <c r="F378" s="13" t="s">
        <v>261</v>
      </c>
      <c r="G378" s="13" t="s">
        <v>1183</v>
      </c>
      <c r="H378" s="17" t="s">
        <v>1586</v>
      </c>
      <c r="I378" s="12"/>
      <c r="J378" s="12"/>
      <c r="K378" s="201">
        <f t="shared" si="81"/>
        <v>250000</v>
      </c>
      <c r="L378" s="223">
        <v>50000</v>
      </c>
      <c r="M378" s="223">
        <v>0</v>
      </c>
      <c r="N378" s="223">
        <v>0</v>
      </c>
      <c r="O378" s="223">
        <v>0</v>
      </c>
      <c r="P378" s="223">
        <v>200000</v>
      </c>
      <c r="Q378" s="202">
        <v>0</v>
      </c>
      <c r="R378" s="213" t="s">
        <v>1318</v>
      </c>
      <c r="S378" s="214" t="s">
        <v>1321</v>
      </c>
      <c r="T378" s="214" t="s">
        <v>1316</v>
      </c>
      <c r="U378" s="214">
        <v>2019</v>
      </c>
      <c r="V378" s="110"/>
      <c r="W378" s="110"/>
      <c r="X378" s="110"/>
    </row>
    <row r="379" spans="1:24" ht="39" customHeight="1" x14ac:dyDescent="0.25">
      <c r="A379" s="23" t="s">
        <v>1512</v>
      </c>
      <c r="B379" s="279" t="s">
        <v>705</v>
      </c>
      <c r="C379" s="74" t="s">
        <v>1520</v>
      </c>
      <c r="D379" s="13" t="s">
        <v>1590</v>
      </c>
      <c r="E379" s="13" t="s">
        <v>392</v>
      </c>
      <c r="F379" s="13" t="s">
        <v>261</v>
      </c>
      <c r="G379" s="13" t="s">
        <v>1183</v>
      </c>
      <c r="H379" s="17" t="s">
        <v>1586</v>
      </c>
      <c r="I379" s="12"/>
      <c r="J379" s="12"/>
      <c r="K379" s="201">
        <f t="shared" si="81"/>
        <v>250000</v>
      </c>
      <c r="L379" s="223">
        <v>50000</v>
      </c>
      <c r="M379" s="223">
        <v>0</v>
      </c>
      <c r="N379" s="223">
        <v>0</v>
      </c>
      <c r="O379" s="223">
        <v>0</v>
      </c>
      <c r="P379" s="223">
        <v>200000</v>
      </c>
      <c r="Q379" s="202">
        <v>0</v>
      </c>
      <c r="R379" s="213" t="s">
        <v>1318</v>
      </c>
      <c r="S379" s="214" t="s">
        <v>1321</v>
      </c>
      <c r="T379" s="214" t="s">
        <v>1316</v>
      </c>
      <c r="U379" s="214">
        <v>2020</v>
      </c>
      <c r="V379" s="110"/>
      <c r="W379" s="110"/>
      <c r="X379" s="110"/>
    </row>
    <row r="380" spans="1:24" ht="39" customHeight="1" x14ac:dyDescent="0.25">
      <c r="A380" s="23" t="s">
        <v>1513</v>
      </c>
      <c r="B380" s="279" t="s">
        <v>706</v>
      </c>
      <c r="C380" s="74" t="s">
        <v>1521</v>
      </c>
      <c r="D380" s="13" t="s">
        <v>1590</v>
      </c>
      <c r="E380" s="13" t="s">
        <v>392</v>
      </c>
      <c r="F380" s="13" t="s">
        <v>261</v>
      </c>
      <c r="G380" s="13" t="s">
        <v>1183</v>
      </c>
      <c r="H380" s="17" t="s">
        <v>1586</v>
      </c>
      <c r="I380" s="12"/>
      <c r="J380" s="12"/>
      <c r="K380" s="201">
        <f t="shared" si="81"/>
        <v>250000</v>
      </c>
      <c r="L380" s="223">
        <v>50000</v>
      </c>
      <c r="M380" s="223">
        <v>0</v>
      </c>
      <c r="N380" s="223">
        <v>0</v>
      </c>
      <c r="O380" s="223">
        <v>0</v>
      </c>
      <c r="P380" s="223">
        <v>200000</v>
      </c>
      <c r="Q380" s="202">
        <v>0</v>
      </c>
      <c r="R380" s="213" t="s">
        <v>1318</v>
      </c>
      <c r="S380" s="214" t="s">
        <v>1322</v>
      </c>
      <c r="T380" s="214" t="s">
        <v>1316</v>
      </c>
      <c r="U380" s="214">
        <v>2019</v>
      </c>
      <c r="V380" s="110"/>
      <c r="W380" s="110"/>
      <c r="X380" s="110"/>
    </row>
    <row r="381" spans="1:24" ht="39" customHeight="1" x14ac:dyDescent="0.25">
      <c r="A381" s="23" t="s">
        <v>1514</v>
      </c>
      <c r="B381" s="279" t="s">
        <v>707</v>
      </c>
      <c r="C381" s="74" t="s">
        <v>260</v>
      </c>
      <c r="D381" s="13" t="s">
        <v>1590</v>
      </c>
      <c r="E381" s="13" t="s">
        <v>392</v>
      </c>
      <c r="F381" s="13" t="s">
        <v>261</v>
      </c>
      <c r="G381" s="13" t="s">
        <v>1183</v>
      </c>
      <c r="H381" s="17" t="s">
        <v>1586</v>
      </c>
      <c r="I381" s="12"/>
      <c r="J381" s="12"/>
      <c r="K381" s="201">
        <f t="shared" si="81"/>
        <v>250000</v>
      </c>
      <c r="L381" s="223">
        <v>50000</v>
      </c>
      <c r="M381" s="223">
        <v>0</v>
      </c>
      <c r="N381" s="223">
        <v>0</v>
      </c>
      <c r="O381" s="223">
        <v>0</v>
      </c>
      <c r="P381" s="223">
        <v>200000</v>
      </c>
      <c r="Q381" s="202">
        <v>0</v>
      </c>
      <c r="R381" s="213" t="s">
        <v>1318</v>
      </c>
      <c r="S381" s="214" t="s">
        <v>1322</v>
      </c>
      <c r="T381" s="214" t="s">
        <v>1316</v>
      </c>
      <c r="U381" s="214">
        <v>2019</v>
      </c>
      <c r="V381" s="110"/>
      <c r="W381" s="110"/>
      <c r="X381" s="110"/>
    </row>
    <row r="382" spans="1:24" ht="39" customHeight="1" x14ac:dyDescent="0.25">
      <c r="A382" s="23" t="s">
        <v>1515</v>
      </c>
      <c r="B382" s="279" t="s">
        <v>708</v>
      </c>
      <c r="C382" s="74" t="s">
        <v>1522</v>
      </c>
      <c r="D382" s="13" t="s">
        <v>1590</v>
      </c>
      <c r="E382" s="13" t="s">
        <v>392</v>
      </c>
      <c r="F382" s="13" t="s">
        <v>261</v>
      </c>
      <c r="G382" s="13" t="s">
        <v>1183</v>
      </c>
      <c r="H382" s="17" t="s">
        <v>1586</v>
      </c>
      <c r="I382" s="12"/>
      <c r="J382" s="12"/>
      <c r="K382" s="201">
        <f t="shared" si="81"/>
        <v>250000</v>
      </c>
      <c r="L382" s="223">
        <v>50000</v>
      </c>
      <c r="M382" s="223">
        <v>0</v>
      </c>
      <c r="N382" s="223">
        <v>0</v>
      </c>
      <c r="O382" s="223">
        <v>0</v>
      </c>
      <c r="P382" s="223">
        <v>200000</v>
      </c>
      <c r="Q382" s="202">
        <v>0</v>
      </c>
      <c r="R382" s="213" t="s">
        <v>1318</v>
      </c>
      <c r="S382" s="214" t="s">
        <v>1321</v>
      </c>
      <c r="T382" s="214" t="s">
        <v>1316</v>
      </c>
      <c r="U382" s="214">
        <v>2020</v>
      </c>
      <c r="V382" s="110"/>
      <c r="W382" s="110"/>
      <c r="X382" s="110"/>
    </row>
    <row r="383" spans="1:24" ht="39" customHeight="1" x14ac:dyDescent="0.25">
      <c r="A383" s="23" t="s">
        <v>1516</v>
      </c>
      <c r="B383" s="279" t="s">
        <v>709</v>
      </c>
      <c r="C383" s="74" t="s">
        <v>1523</v>
      </c>
      <c r="D383" s="13" t="s">
        <v>1590</v>
      </c>
      <c r="E383" s="13" t="s">
        <v>392</v>
      </c>
      <c r="F383" s="13" t="s">
        <v>261</v>
      </c>
      <c r="G383" s="13" t="s">
        <v>1183</v>
      </c>
      <c r="H383" s="17" t="s">
        <v>1586</v>
      </c>
      <c r="I383" s="12"/>
      <c r="J383" s="12"/>
      <c r="K383" s="201">
        <f t="shared" si="81"/>
        <v>250000</v>
      </c>
      <c r="L383" s="223">
        <v>50000</v>
      </c>
      <c r="M383" s="223">
        <v>0</v>
      </c>
      <c r="N383" s="223">
        <v>0</v>
      </c>
      <c r="O383" s="223">
        <v>0</v>
      </c>
      <c r="P383" s="223">
        <v>200000</v>
      </c>
      <c r="Q383" s="202">
        <v>0</v>
      </c>
      <c r="R383" s="213" t="s">
        <v>1318</v>
      </c>
      <c r="S383" s="214" t="s">
        <v>1321</v>
      </c>
      <c r="T383" s="214" t="s">
        <v>1316</v>
      </c>
      <c r="U383" s="214">
        <v>2020</v>
      </c>
      <c r="V383" s="110"/>
      <c r="W383" s="110"/>
      <c r="X383" s="110"/>
    </row>
    <row r="384" spans="1:24" ht="39" customHeight="1" x14ac:dyDescent="0.25">
      <c r="A384" s="23" t="s">
        <v>1517</v>
      </c>
      <c r="B384" s="279" t="s">
        <v>710</v>
      </c>
      <c r="C384" s="74" t="s">
        <v>1524</v>
      </c>
      <c r="D384" s="13" t="s">
        <v>1590</v>
      </c>
      <c r="E384" s="13" t="s">
        <v>392</v>
      </c>
      <c r="F384" s="13" t="s">
        <v>261</v>
      </c>
      <c r="G384" s="13" t="s">
        <v>1183</v>
      </c>
      <c r="H384" s="17" t="s">
        <v>1586</v>
      </c>
      <c r="I384" s="12"/>
      <c r="J384" s="12"/>
      <c r="K384" s="201">
        <f t="shared" si="81"/>
        <v>250000</v>
      </c>
      <c r="L384" s="223">
        <v>50000</v>
      </c>
      <c r="M384" s="223">
        <v>0</v>
      </c>
      <c r="N384" s="223">
        <v>0</v>
      </c>
      <c r="O384" s="223">
        <v>0</v>
      </c>
      <c r="P384" s="223">
        <v>200000</v>
      </c>
      <c r="Q384" s="202">
        <v>0</v>
      </c>
      <c r="R384" s="213" t="s">
        <v>1318</v>
      </c>
      <c r="S384" s="214" t="s">
        <v>1321</v>
      </c>
      <c r="T384" s="214" t="s">
        <v>1316</v>
      </c>
      <c r="U384" s="214">
        <v>2020</v>
      </c>
      <c r="V384" s="110"/>
      <c r="W384" s="110"/>
      <c r="X384" s="110"/>
    </row>
    <row r="385" spans="1:24" ht="39" customHeight="1" x14ac:dyDescent="0.25">
      <c r="A385" s="23" t="s">
        <v>1518</v>
      </c>
      <c r="B385" s="279" t="s">
        <v>711</v>
      </c>
      <c r="C385" s="74" t="s">
        <v>259</v>
      </c>
      <c r="D385" s="13" t="s">
        <v>1590</v>
      </c>
      <c r="E385" s="13" t="s">
        <v>392</v>
      </c>
      <c r="F385" s="13" t="s">
        <v>261</v>
      </c>
      <c r="G385" s="13" t="s">
        <v>1183</v>
      </c>
      <c r="H385" s="17" t="s">
        <v>1586</v>
      </c>
      <c r="I385" s="12"/>
      <c r="J385" s="12"/>
      <c r="K385" s="201">
        <f t="shared" si="81"/>
        <v>250000</v>
      </c>
      <c r="L385" s="223">
        <v>50000</v>
      </c>
      <c r="M385" s="223">
        <v>0</v>
      </c>
      <c r="N385" s="223">
        <v>0</v>
      </c>
      <c r="O385" s="223">
        <v>0</v>
      </c>
      <c r="P385" s="223">
        <v>200000</v>
      </c>
      <c r="Q385" s="202">
        <v>0</v>
      </c>
      <c r="R385" s="213" t="s">
        <v>1318</v>
      </c>
      <c r="S385" s="214" t="s">
        <v>1322</v>
      </c>
      <c r="T385" s="214" t="s">
        <v>1316</v>
      </c>
      <c r="U385" s="214">
        <v>2019</v>
      </c>
      <c r="V385" s="110"/>
      <c r="W385" s="110"/>
      <c r="X385" s="110"/>
    </row>
    <row r="386" spans="1:24" ht="39" customHeight="1" x14ac:dyDescent="0.25">
      <c r="A386" s="428" t="s">
        <v>359</v>
      </c>
      <c r="B386" s="436"/>
      <c r="C386" s="428" t="s">
        <v>1795</v>
      </c>
      <c r="D386" s="436"/>
      <c r="E386" s="436"/>
      <c r="F386" s="436"/>
      <c r="G386" s="436"/>
      <c r="H386" s="436"/>
      <c r="I386" s="436"/>
      <c r="J386" s="436"/>
      <c r="K386" s="446">
        <v>0</v>
      </c>
      <c r="L386" s="446">
        <v>0</v>
      </c>
      <c r="M386" s="446">
        <v>0</v>
      </c>
      <c r="N386" s="446">
        <v>0</v>
      </c>
      <c r="O386" s="446">
        <v>0</v>
      </c>
      <c r="P386" s="446">
        <v>0</v>
      </c>
      <c r="Q386" s="446">
        <v>0</v>
      </c>
      <c r="R386" s="435"/>
      <c r="S386" s="435"/>
      <c r="T386" s="435"/>
      <c r="U386" s="435"/>
      <c r="V386" s="110"/>
      <c r="W386" s="110"/>
      <c r="X386" s="110"/>
    </row>
    <row r="387" spans="1:24" ht="39" customHeight="1" x14ac:dyDescent="0.25">
      <c r="A387" s="428" t="s">
        <v>358</v>
      </c>
      <c r="B387" s="436"/>
      <c r="C387" s="428" t="s">
        <v>1796</v>
      </c>
      <c r="D387" s="436"/>
      <c r="E387" s="436"/>
      <c r="F387" s="436"/>
      <c r="G387" s="436"/>
      <c r="H387" s="436"/>
      <c r="I387" s="436"/>
      <c r="J387" s="436"/>
      <c r="K387" s="446">
        <v>0</v>
      </c>
      <c r="L387" s="446">
        <v>0</v>
      </c>
      <c r="M387" s="446">
        <v>0</v>
      </c>
      <c r="N387" s="446">
        <v>0</v>
      </c>
      <c r="O387" s="446">
        <v>0</v>
      </c>
      <c r="P387" s="446">
        <v>0</v>
      </c>
      <c r="Q387" s="446">
        <v>0</v>
      </c>
      <c r="R387" s="435"/>
      <c r="S387" s="435"/>
      <c r="T387" s="435"/>
      <c r="U387" s="435"/>
      <c r="V387" s="110"/>
      <c r="W387" s="110"/>
      <c r="X387" s="110"/>
    </row>
    <row r="388" spans="1:24" ht="54.75" customHeight="1" x14ac:dyDescent="0.25">
      <c r="A388" s="415" t="s">
        <v>1656</v>
      </c>
      <c r="B388" s="392"/>
      <c r="C388" s="415" t="s">
        <v>1785</v>
      </c>
      <c r="D388" s="392"/>
      <c r="E388" s="392"/>
      <c r="F388" s="392"/>
      <c r="G388" s="392"/>
      <c r="H388" s="392"/>
      <c r="I388" s="392"/>
      <c r="J388" s="392"/>
      <c r="K388" s="416">
        <f t="shared" ref="K388:Q388" si="82">K389+K390+K391</f>
        <v>0</v>
      </c>
      <c r="L388" s="416">
        <f t="shared" si="82"/>
        <v>0</v>
      </c>
      <c r="M388" s="416">
        <f t="shared" si="82"/>
        <v>0</v>
      </c>
      <c r="N388" s="416">
        <f t="shared" si="82"/>
        <v>0</v>
      </c>
      <c r="O388" s="416">
        <f t="shared" si="82"/>
        <v>0</v>
      </c>
      <c r="P388" s="416">
        <f t="shared" si="82"/>
        <v>0</v>
      </c>
      <c r="Q388" s="416">
        <f t="shared" si="82"/>
        <v>0</v>
      </c>
      <c r="R388" s="419"/>
      <c r="S388" s="419"/>
      <c r="T388" s="419"/>
      <c r="U388" s="419"/>
      <c r="V388" s="110"/>
      <c r="W388" s="110"/>
      <c r="X388" s="110"/>
    </row>
    <row r="389" spans="1:24" ht="39" customHeight="1" x14ac:dyDescent="0.25">
      <c r="A389" s="428" t="s">
        <v>1790</v>
      </c>
      <c r="B389" s="436"/>
      <c r="C389" s="428" t="s">
        <v>1797</v>
      </c>
      <c r="D389" s="436"/>
      <c r="E389" s="436"/>
      <c r="F389" s="436"/>
      <c r="G389" s="436"/>
      <c r="H389" s="436"/>
      <c r="I389" s="436"/>
      <c r="J389" s="436"/>
      <c r="K389" s="446">
        <v>0</v>
      </c>
      <c r="L389" s="446">
        <v>0</v>
      </c>
      <c r="M389" s="446">
        <v>0</v>
      </c>
      <c r="N389" s="446">
        <v>0</v>
      </c>
      <c r="O389" s="446">
        <v>0</v>
      </c>
      <c r="P389" s="446">
        <v>0</v>
      </c>
      <c r="Q389" s="446">
        <v>0</v>
      </c>
      <c r="R389" s="435"/>
      <c r="S389" s="435"/>
      <c r="T389" s="435"/>
      <c r="U389" s="435"/>
      <c r="V389" s="110"/>
      <c r="W389" s="110"/>
      <c r="X389" s="110"/>
    </row>
    <row r="390" spans="1:24" ht="39" customHeight="1" x14ac:dyDescent="0.25">
      <c r="A390" s="428" t="s">
        <v>1791</v>
      </c>
      <c r="B390" s="436"/>
      <c r="C390" s="428" t="s">
        <v>1798</v>
      </c>
      <c r="D390" s="436"/>
      <c r="E390" s="436"/>
      <c r="F390" s="436"/>
      <c r="G390" s="436"/>
      <c r="H390" s="436"/>
      <c r="I390" s="436"/>
      <c r="J390" s="436"/>
      <c r="K390" s="446">
        <v>0</v>
      </c>
      <c r="L390" s="446">
        <v>0</v>
      </c>
      <c r="M390" s="446">
        <v>0</v>
      </c>
      <c r="N390" s="446">
        <v>0</v>
      </c>
      <c r="O390" s="446">
        <v>0</v>
      </c>
      <c r="P390" s="446">
        <v>0</v>
      </c>
      <c r="Q390" s="446">
        <v>0</v>
      </c>
      <c r="R390" s="435"/>
      <c r="S390" s="435"/>
      <c r="T390" s="435"/>
      <c r="U390" s="435"/>
      <c r="V390" s="110"/>
      <c r="W390" s="110"/>
      <c r="X390" s="110"/>
    </row>
    <row r="391" spans="1:24" ht="53.25" customHeight="1" x14ac:dyDescent="0.25">
      <c r="A391" s="428" t="s">
        <v>1792</v>
      </c>
      <c r="B391" s="436"/>
      <c r="C391" s="428" t="s">
        <v>1799</v>
      </c>
      <c r="D391" s="436"/>
      <c r="E391" s="436"/>
      <c r="F391" s="436"/>
      <c r="G391" s="436"/>
      <c r="H391" s="436"/>
      <c r="I391" s="436"/>
      <c r="J391" s="436"/>
      <c r="K391" s="446">
        <v>0</v>
      </c>
      <c r="L391" s="446">
        <v>0</v>
      </c>
      <c r="M391" s="446">
        <v>0</v>
      </c>
      <c r="N391" s="446">
        <v>0</v>
      </c>
      <c r="O391" s="446">
        <v>0</v>
      </c>
      <c r="P391" s="446">
        <v>0</v>
      </c>
      <c r="Q391" s="446">
        <v>0</v>
      </c>
      <c r="R391" s="435"/>
      <c r="S391" s="435"/>
      <c r="T391" s="435"/>
      <c r="U391" s="435"/>
      <c r="V391" s="110"/>
      <c r="W391" s="110"/>
      <c r="X391" s="110"/>
    </row>
    <row r="392" spans="1:24" ht="39" customHeight="1" x14ac:dyDescent="0.25">
      <c r="A392" s="398" t="s">
        <v>1657</v>
      </c>
      <c r="B392" s="402"/>
      <c r="C392" s="398" t="s">
        <v>1658</v>
      </c>
      <c r="D392" s="402"/>
      <c r="E392" s="402"/>
      <c r="F392" s="402"/>
      <c r="G392" s="402"/>
      <c r="H392" s="402"/>
      <c r="I392" s="402"/>
      <c r="J392" s="402"/>
      <c r="K392" s="401">
        <f t="shared" ref="K392:Q392" si="83">K393+K470</f>
        <v>106618655.28000002</v>
      </c>
      <c r="L392" s="401">
        <f t="shared" si="83"/>
        <v>13249234.689999996</v>
      </c>
      <c r="M392" s="401">
        <f t="shared" si="83"/>
        <v>200000</v>
      </c>
      <c r="N392" s="401">
        <f t="shared" si="83"/>
        <v>22173613.120000001</v>
      </c>
      <c r="O392" s="401">
        <f t="shared" si="83"/>
        <v>883599</v>
      </c>
      <c r="P392" s="401">
        <f t="shared" si="83"/>
        <v>70112208.469999999</v>
      </c>
      <c r="Q392" s="401">
        <f t="shared" si="83"/>
        <v>0</v>
      </c>
      <c r="R392" s="403"/>
      <c r="S392" s="403"/>
      <c r="T392" s="403"/>
      <c r="U392" s="403"/>
      <c r="V392" s="110"/>
      <c r="W392" s="110"/>
      <c r="X392" s="110"/>
    </row>
    <row r="393" spans="1:24" ht="39" customHeight="1" x14ac:dyDescent="0.25">
      <c r="A393" s="404" t="s">
        <v>1659</v>
      </c>
      <c r="B393" s="405"/>
      <c r="C393" s="404" t="s">
        <v>1660</v>
      </c>
      <c r="D393" s="405"/>
      <c r="E393" s="405"/>
      <c r="F393" s="405"/>
      <c r="G393" s="405"/>
      <c r="H393" s="405"/>
      <c r="I393" s="405"/>
      <c r="J393" s="405"/>
      <c r="K393" s="407">
        <f t="shared" ref="K393:Q393" si="84">K394+K409+K440+K453</f>
        <v>106257988.74000001</v>
      </c>
      <c r="L393" s="407">
        <f t="shared" si="84"/>
        <v>13186443.899999997</v>
      </c>
      <c r="M393" s="407">
        <f t="shared" si="84"/>
        <v>200000</v>
      </c>
      <c r="N393" s="407">
        <f t="shared" si="84"/>
        <v>22173613.120000001</v>
      </c>
      <c r="O393" s="407">
        <f t="shared" si="84"/>
        <v>883599</v>
      </c>
      <c r="P393" s="407">
        <f t="shared" si="84"/>
        <v>69814332.719999999</v>
      </c>
      <c r="Q393" s="407">
        <f t="shared" si="84"/>
        <v>0</v>
      </c>
      <c r="R393" s="408"/>
      <c r="S393" s="408"/>
      <c r="T393" s="408"/>
      <c r="U393" s="408"/>
      <c r="V393" s="110"/>
      <c r="W393" s="110"/>
      <c r="X393" s="110"/>
    </row>
    <row r="394" spans="1:24" ht="58.5" customHeight="1" x14ac:dyDescent="0.25">
      <c r="A394" s="391" t="s">
        <v>1662</v>
      </c>
      <c r="B394" s="414"/>
      <c r="C394" s="391" t="s">
        <v>1665</v>
      </c>
      <c r="D394" s="414"/>
      <c r="E394" s="414"/>
      <c r="F394" s="414"/>
      <c r="G394" s="414"/>
      <c r="H394" s="414"/>
      <c r="I394" s="414"/>
      <c r="J394" s="414"/>
      <c r="K394" s="416">
        <f t="shared" ref="K394:Q394" si="85">K395+K403+K404+K406+K407+K408</f>
        <v>21299859.68</v>
      </c>
      <c r="L394" s="416">
        <f t="shared" si="85"/>
        <v>4622384.9699999988</v>
      </c>
      <c r="M394" s="416">
        <f t="shared" si="85"/>
        <v>0</v>
      </c>
      <c r="N394" s="416">
        <f t="shared" si="85"/>
        <v>0</v>
      </c>
      <c r="O394" s="416">
        <f t="shared" si="85"/>
        <v>356125</v>
      </c>
      <c r="P394" s="416">
        <f t="shared" si="85"/>
        <v>16321349.709999997</v>
      </c>
      <c r="Q394" s="416">
        <f t="shared" si="85"/>
        <v>0</v>
      </c>
      <c r="R394" s="417"/>
      <c r="S394" s="417"/>
      <c r="T394" s="417"/>
      <c r="U394" s="417"/>
      <c r="V394" s="110"/>
      <c r="W394" s="110"/>
      <c r="X394" s="110"/>
    </row>
    <row r="395" spans="1:24" ht="39" customHeight="1" x14ac:dyDescent="0.25">
      <c r="A395" s="428" t="s">
        <v>1801</v>
      </c>
      <c r="B395" s="429"/>
      <c r="C395" s="428" t="s">
        <v>1807</v>
      </c>
      <c r="D395" s="429"/>
      <c r="E395" s="429"/>
      <c r="F395" s="429"/>
      <c r="G395" s="429"/>
      <c r="H395" s="429"/>
      <c r="I395" s="429"/>
      <c r="J395" s="429"/>
      <c r="K395" s="433">
        <f t="shared" ref="K395:Q395" si="86">SUM(K396:K402)</f>
        <v>19236904.050000001</v>
      </c>
      <c r="L395" s="433">
        <f t="shared" si="86"/>
        <v>4312941.6199999992</v>
      </c>
      <c r="M395" s="433">
        <f t="shared" si="86"/>
        <v>0</v>
      </c>
      <c r="N395" s="433">
        <f t="shared" si="86"/>
        <v>0</v>
      </c>
      <c r="O395" s="433">
        <f t="shared" si="86"/>
        <v>356125</v>
      </c>
      <c r="P395" s="433">
        <f t="shared" si="86"/>
        <v>14567837.429999998</v>
      </c>
      <c r="Q395" s="433">
        <f t="shared" si="86"/>
        <v>0</v>
      </c>
      <c r="R395" s="431"/>
      <c r="S395" s="431"/>
      <c r="T395" s="431"/>
      <c r="U395" s="431"/>
      <c r="V395" s="110"/>
      <c r="W395" s="110"/>
      <c r="X395" s="110"/>
    </row>
    <row r="396" spans="1:24" ht="39" customHeight="1" x14ac:dyDescent="0.25">
      <c r="A396" s="31" t="s">
        <v>930</v>
      </c>
      <c r="B396" s="279" t="s">
        <v>712</v>
      </c>
      <c r="C396" s="31" t="s">
        <v>811</v>
      </c>
      <c r="D396" s="33" t="s">
        <v>1587</v>
      </c>
      <c r="E396" s="33" t="s">
        <v>776</v>
      </c>
      <c r="F396" s="33" t="s">
        <v>1454</v>
      </c>
      <c r="G396" s="11" t="s">
        <v>1384</v>
      </c>
      <c r="H396" s="33" t="s">
        <v>1586</v>
      </c>
      <c r="I396" s="33"/>
      <c r="J396" s="33"/>
      <c r="K396" s="199">
        <f t="shared" ref="K396:K402" si="87">L396+P396+M396+N396+O396</f>
        <v>1617886.98</v>
      </c>
      <c r="L396" s="199">
        <v>242683.05</v>
      </c>
      <c r="M396" s="138">
        <v>0</v>
      </c>
      <c r="N396" s="138">
        <v>0</v>
      </c>
      <c r="O396" s="138">
        <v>0</v>
      </c>
      <c r="P396" s="199">
        <v>1375203.93</v>
      </c>
      <c r="Q396" s="138">
        <v>0</v>
      </c>
      <c r="R396" s="195" t="s">
        <v>803</v>
      </c>
      <c r="S396" s="217" t="s">
        <v>1319</v>
      </c>
      <c r="T396" s="217" t="s">
        <v>1322</v>
      </c>
      <c r="U396" s="217">
        <v>2018</v>
      </c>
      <c r="V396" s="110"/>
      <c r="W396" s="110"/>
      <c r="X396" s="110"/>
    </row>
    <row r="397" spans="1:24" ht="39" customHeight="1" x14ac:dyDescent="0.25">
      <c r="A397" s="31" t="s">
        <v>931</v>
      </c>
      <c r="B397" s="279" t="s">
        <v>713</v>
      </c>
      <c r="C397" s="19" t="s">
        <v>1391</v>
      </c>
      <c r="D397" s="12" t="s">
        <v>1443</v>
      </c>
      <c r="E397" s="16" t="s">
        <v>776</v>
      </c>
      <c r="F397" s="16" t="s">
        <v>1455</v>
      </c>
      <c r="G397" s="11" t="s">
        <v>1384</v>
      </c>
      <c r="H397" s="16" t="s">
        <v>1586</v>
      </c>
      <c r="I397" s="16"/>
      <c r="J397" s="16"/>
      <c r="K397" s="199">
        <f t="shared" si="87"/>
        <v>1885249</v>
      </c>
      <c r="L397" s="223">
        <v>282787</v>
      </c>
      <c r="M397" s="223">
        <v>0</v>
      </c>
      <c r="N397" s="222">
        <v>0</v>
      </c>
      <c r="O397" s="222">
        <v>0</v>
      </c>
      <c r="P397" s="222">
        <v>1602462</v>
      </c>
      <c r="Q397" s="138">
        <v>0</v>
      </c>
      <c r="R397" s="213" t="s">
        <v>803</v>
      </c>
      <c r="S397" s="213" t="s">
        <v>1321</v>
      </c>
      <c r="T397" s="213" t="s">
        <v>1322</v>
      </c>
      <c r="U397" s="239">
        <v>2018</v>
      </c>
      <c r="V397" s="110"/>
      <c r="W397" s="110"/>
      <c r="X397" s="110"/>
    </row>
    <row r="398" spans="1:24" ht="39" customHeight="1" x14ac:dyDescent="0.25">
      <c r="A398" s="31" t="s">
        <v>932</v>
      </c>
      <c r="B398" s="279" t="s">
        <v>714</v>
      </c>
      <c r="C398" s="23" t="s">
        <v>1415</v>
      </c>
      <c r="D398" s="11" t="s">
        <v>850</v>
      </c>
      <c r="E398" s="47" t="s">
        <v>776</v>
      </c>
      <c r="F398" s="11" t="s">
        <v>1400</v>
      </c>
      <c r="G398" s="33" t="s">
        <v>1384</v>
      </c>
      <c r="H398" s="22" t="s">
        <v>1586</v>
      </c>
      <c r="I398" s="11" t="s">
        <v>858</v>
      </c>
      <c r="J398" s="47"/>
      <c r="K398" s="199">
        <f t="shared" si="87"/>
        <v>7722825</v>
      </c>
      <c r="L398" s="224">
        <v>2915018</v>
      </c>
      <c r="M398" s="224">
        <v>0</v>
      </c>
      <c r="N398" s="224">
        <v>0</v>
      </c>
      <c r="O398" s="224">
        <v>0</v>
      </c>
      <c r="P398" s="224">
        <v>4807807</v>
      </c>
      <c r="Q398" s="138">
        <v>0</v>
      </c>
      <c r="R398" s="196" t="s">
        <v>803</v>
      </c>
      <c r="S398" s="209" t="s">
        <v>1343</v>
      </c>
      <c r="T398" s="209" t="s">
        <v>1318</v>
      </c>
      <c r="U398" s="218">
        <v>2018</v>
      </c>
      <c r="V398" s="110"/>
      <c r="W398" s="110"/>
      <c r="X398" s="110"/>
    </row>
    <row r="399" spans="1:24" ht="39" customHeight="1" x14ac:dyDescent="0.25">
      <c r="A399" s="240" t="s">
        <v>1449</v>
      </c>
      <c r="B399" s="279" t="s">
        <v>715</v>
      </c>
      <c r="C399" s="241" t="s">
        <v>1334</v>
      </c>
      <c r="D399" s="90" t="s">
        <v>1590</v>
      </c>
      <c r="E399" s="90" t="s">
        <v>776</v>
      </c>
      <c r="F399" s="90" t="s">
        <v>1446</v>
      </c>
      <c r="G399" s="90" t="s">
        <v>1384</v>
      </c>
      <c r="H399" s="194" t="s">
        <v>1586</v>
      </c>
      <c r="I399" s="194"/>
      <c r="J399" s="194"/>
      <c r="K399" s="199">
        <f t="shared" si="87"/>
        <v>2401122.35</v>
      </c>
      <c r="L399" s="199">
        <v>360168.35</v>
      </c>
      <c r="M399" s="201">
        <v>0</v>
      </c>
      <c r="N399" s="201">
        <v>0</v>
      </c>
      <c r="O399" s="201">
        <v>0</v>
      </c>
      <c r="P399" s="199">
        <v>2040954</v>
      </c>
      <c r="Q399" s="138">
        <v>0</v>
      </c>
      <c r="R399" s="206" t="s">
        <v>803</v>
      </c>
      <c r="S399" s="207" t="s">
        <v>1318</v>
      </c>
      <c r="T399" s="207" t="s">
        <v>1322</v>
      </c>
      <c r="U399" s="206">
        <v>2018</v>
      </c>
      <c r="V399" s="110"/>
      <c r="W399" s="110"/>
      <c r="X399" s="110"/>
    </row>
    <row r="400" spans="1:24" ht="39" customHeight="1" x14ac:dyDescent="0.25">
      <c r="A400" s="240" t="s">
        <v>1450</v>
      </c>
      <c r="B400" s="279" t="s">
        <v>716</v>
      </c>
      <c r="C400" s="241" t="s">
        <v>154</v>
      </c>
      <c r="D400" s="90" t="s">
        <v>1453</v>
      </c>
      <c r="E400" s="90" t="s">
        <v>776</v>
      </c>
      <c r="F400" s="8" t="s">
        <v>88</v>
      </c>
      <c r="G400" s="90" t="s">
        <v>1384</v>
      </c>
      <c r="H400" s="194" t="s">
        <v>1586</v>
      </c>
      <c r="I400" s="194"/>
      <c r="J400" s="194"/>
      <c r="K400" s="199">
        <f t="shared" si="87"/>
        <v>2194585.94</v>
      </c>
      <c r="L400" s="199">
        <v>0</v>
      </c>
      <c r="M400" s="201">
        <v>0</v>
      </c>
      <c r="N400" s="201">
        <v>0</v>
      </c>
      <c r="O400" s="201">
        <v>356125</v>
      </c>
      <c r="P400" s="199">
        <v>1838460.94</v>
      </c>
      <c r="Q400" s="138">
        <v>0</v>
      </c>
      <c r="R400" s="207" t="s">
        <v>1342</v>
      </c>
      <c r="S400" s="207" t="s">
        <v>1322</v>
      </c>
      <c r="T400" s="207" t="s">
        <v>1318</v>
      </c>
      <c r="U400" s="206">
        <v>2018</v>
      </c>
      <c r="V400" s="110"/>
      <c r="W400" s="110"/>
      <c r="X400" s="110"/>
    </row>
    <row r="401" spans="1:24" ht="39" customHeight="1" x14ac:dyDescent="0.25">
      <c r="A401" s="240" t="s">
        <v>1416</v>
      </c>
      <c r="B401" s="279" t="s">
        <v>717</v>
      </c>
      <c r="C401" s="242" t="s">
        <v>1438</v>
      </c>
      <c r="D401" s="11" t="s">
        <v>1580</v>
      </c>
      <c r="E401" s="11" t="s">
        <v>776</v>
      </c>
      <c r="F401" s="11" t="s">
        <v>1456</v>
      </c>
      <c r="G401" s="90" t="s">
        <v>1384</v>
      </c>
      <c r="H401" s="22" t="s">
        <v>1586</v>
      </c>
      <c r="I401" s="22"/>
      <c r="J401" s="22"/>
      <c r="K401" s="199">
        <f t="shared" si="87"/>
        <v>1424829.94</v>
      </c>
      <c r="L401" s="201">
        <v>213724.49</v>
      </c>
      <c r="M401" s="201">
        <v>0</v>
      </c>
      <c r="N401" s="201">
        <v>0</v>
      </c>
      <c r="O401" s="243">
        <v>0</v>
      </c>
      <c r="P401" s="244">
        <v>1211105.45</v>
      </c>
      <c r="Q401" s="138">
        <v>0</v>
      </c>
      <c r="R401" s="207" t="s">
        <v>1320</v>
      </c>
      <c r="S401" s="207" t="s">
        <v>1321</v>
      </c>
      <c r="T401" s="207" t="s">
        <v>1406</v>
      </c>
      <c r="U401" s="206">
        <v>2019</v>
      </c>
      <c r="V401" s="110"/>
      <c r="W401" s="110"/>
      <c r="X401" s="110"/>
    </row>
    <row r="402" spans="1:24" ht="39" customHeight="1" x14ac:dyDescent="0.25">
      <c r="A402" s="245" t="s">
        <v>1462</v>
      </c>
      <c r="B402" s="279" t="s">
        <v>718</v>
      </c>
      <c r="C402" s="246" t="s">
        <v>1475</v>
      </c>
      <c r="D402" s="248" t="s">
        <v>1589</v>
      </c>
      <c r="E402" s="248" t="s">
        <v>776</v>
      </c>
      <c r="F402" s="248" t="s">
        <v>1441</v>
      </c>
      <c r="G402" s="248" t="s">
        <v>1384</v>
      </c>
      <c r="H402" s="247" t="s">
        <v>1586</v>
      </c>
      <c r="I402" s="247"/>
      <c r="J402" s="247"/>
      <c r="K402" s="199">
        <f t="shared" si="87"/>
        <v>1990404.84</v>
      </c>
      <c r="L402" s="201">
        <v>298560.73</v>
      </c>
      <c r="M402" s="201">
        <v>0</v>
      </c>
      <c r="N402" s="201">
        <v>0</v>
      </c>
      <c r="O402" s="201">
        <v>0</v>
      </c>
      <c r="P402" s="201">
        <v>1691844.11</v>
      </c>
      <c r="Q402" s="138">
        <v>0</v>
      </c>
      <c r="R402" s="249" t="s">
        <v>1320</v>
      </c>
      <c r="S402" s="249" t="s">
        <v>1322</v>
      </c>
      <c r="T402" s="249" t="s">
        <v>1406</v>
      </c>
      <c r="U402" s="210">
        <v>2018</v>
      </c>
      <c r="V402" s="110"/>
      <c r="W402" s="110"/>
      <c r="X402" s="110"/>
    </row>
    <row r="403" spans="1:24" ht="57.75" customHeight="1" x14ac:dyDescent="0.25">
      <c r="A403" s="428" t="s">
        <v>1802</v>
      </c>
      <c r="B403" s="429"/>
      <c r="C403" s="428" t="s">
        <v>1808</v>
      </c>
      <c r="D403" s="429"/>
      <c r="E403" s="429"/>
      <c r="F403" s="429"/>
      <c r="G403" s="429"/>
      <c r="H403" s="429"/>
      <c r="I403" s="429"/>
      <c r="J403" s="429"/>
      <c r="K403" s="446">
        <v>0</v>
      </c>
      <c r="L403" s="446">
        <v>0</v>
      </c>
      <c r="M403" s="446">
        <v>0</v>
      </c>
      <c r="N403" s="446">
        <v>0</v>
      </c>
      <c r="O403" s="446">
        <v>0</v>
      </c>
      <c r="P403" s="446">
        <v>0</v>
      </c>
      <c r="Q403" s="446">
        <v>0</v>
      </c>
      <c r="R403" s="431"/>
      <c r="S403" s="431"/>
      <c r="T403" s="431"/>
      <c r="U403" s="431"/>
      <c r="V403" s="110"/>
      <c r="W403" s="110"/>
      <c r="X403" s="110"/>
    </row>
    <row r="404" spans="1:24" ht="39" customHeight="1" x14ac:dyDescent="0.25">
      <c r="A404" s="428" t="s">
        <v>1803</v>
      </c>
      <c r="B404" s="429"/>
      <c r="C404" s="428" t="s">
        <v>1809</v>
      </c>
      <c r="D404" s="429"/>
      <c r="E404" s="429"/>
      <c r="F404" s="429"/>
      <c r="G404" s="429"/>
      <c r="H404" s="429"/>
      <c r="I404" s="429"/>
      <c r="J404" s="429"/>
      <c r="K404" s="433">
        <f t="shared" ref="K404:Q404" si="88">SUM(K405:K405)</f>
        <v>2062955.63</v>
      </c>
      <c r="L404" s="433">
        <f t="shared" si="88"/>
        <v>309443.34999999998</v>
      </c>
      <c r="M404" s="433">
        <f t="shared" si="88"/>
        <v>0</v>
      </c>
      <c r="N404" s="433">
        <f t="shared" si="88"/>
        <v>0</v>
      </c>
      <c r="O404" s="433">
        <f t="shared" si="88"/>
        <v>0</v>
      </c>
      <c r="P404" s="433">
        <f t="shared" si="88"/>
        <v>1753512.28</v>
      </c>
      <c r="Q404" s="433">
        <f t="shared" si="88"/>
        <v>0</v>
      </c>
      <c r="R404" s="431"/>
      <c r="S404" s="431"/>
      <c r="T404" s="431"/>
      <c r="U404" s="431"/>
      <c r="V404" s="110"/>
      <c r="W404" s="110"/>
      <c r="X404" s="110"/>
    </row>
    <row r="405" spans="1:24" ht="39" customHeight="1" x14ac:dyDescent="0.25">
      <c r="A405" s="39" t="s">
        <v>933</v>
      </c>
      <c r="B405" s="279" t="s">
        <v>719</v>
      </c>
      <c r="C405" s="23" t="s">
        <v>1417</v>
      </c>
      <c r="D405" s="11" t="s">
        <v>850</v>
      </c>
      <c r="E405" s="47" t="s">
        <v>776</v>
      </c>
      <c r="F405" s="11" t="s">
        <v>1400</v>
      </c>
      <c r="G405" s="90" t="s">
        <v>1418</v>
      </c>
      <c r="H405" s="47" t="s">
        <v>1592</v>
      </c>
      <c r="I405" s="47" t="s">
        <v>858</v>
      </c>
      <c r="J405" s="47"/>
      <c r="K405" s="219">
        <f>L405+P405</f>
        <v>2062955.63</v>
      </c>
      <c r="L405" s="219">
        <v>309443.34999999998</v>
      </c>
      <c r="M405" s="219">
        <v>0</v>
      </c>
      <c r="N405" s="219">
        <v>0</v>
      </c>
      <c r="O405" s="219">
        <v>0</v>
      </c>
      <c r="P405" s="219">
        <v>1753512.28</v>
      </c>
      <c r="Q405" s="219">
        <v>0</v>
      </c>
      <c r="R405" s="188" t="s">
        <v>1419</v>
      </c>
      <c r="S405" s="188" t="s">
        <v>1420</v>
      </c>
      <c r="T405" s="188" t="s">
        <v>1421</v>
      </c>
      <c r="U405" s="218">
        <v>2018</v>
      </c>
      <c r="V405" s="110"/>
      <c r="W405" s="110"/>
      <c r="X405" s="110"/>
    </row>
    <row r="406" spans="1:24" ht="75.75" customHeight="1" x14ac:dyDescent="0.25">
      <c r="A406" s="428" t="s">
        <v>1804</v>
      </c>
      <c r="B406" s="429"/>
      <c r="C406" s="428" t="s">
        <v>1810</v>
      </c>
      <c r="D406" s="429"/>
      <c r="E406" s="429"/>
      <c r="F406" s="429"/>
      <c r="G406" s="429"/>
      <c r="H406" s="429"/>
      <c r="I406" s="429"/>
      <c r="J406" s="429"/>
      <c r="K406" s="446">
        <v>0</v>
      </c>
      <c r="L406" s="446">
        <v>0</v>
      </c>
      <c r="M406" s="446">
        <v>0</v>
      </c>
      <c r="N406" s="446">
        <v>0</v>
      </c>
      <c r="O406" s="446">
        <v>0</v>
      </c>
      <c r="P406" s="446">
        <v>0</v>
      </c>
      <c r="Q406" s="446">
        <v>0</v>
      </c>
      <c r="R406" s="431"/>
      <c r="S406" s="431"/>
      <c r="T406" s="431"/>
      <c r="U406" s="431"/>
      <c r="V406" s="110"/>
      <c r="W406" s="110"/>
      <c r="X406" s="110"/>
    </row>
    <row r="407" spans="1:24" ht="39" customHeight="1" x14ac:dyDescent="0.25">
      <c r="A407" s="428" t="s">
        <v>1805</v>
      </c>
      <c r="B407" s="429"/>
      <c r="C407" s="428" t="s">
        <v>1811</v>
      </c>
      <c r="D407" s="429"/>
      <c r="E407" s="429"/>
      <c r="F407" s="429"/>
      <c r="G407" s="429"/>
      <c r="H407" s="429"/>
      <c r="I407" s="429"/>
      <c r="J407" s="429"/>
      <c r="K407" s="446">
        <v>0</v>
      </c>
      <c r="L407" s="446">
        <v>0</v>
      </c>
      <c r="M407" s="446">
        <v>0</v>
      </c>
      <c r="N407" s="446">
        <v>0</v>
      </c>
      <c r="O407" s="446">
        <v>0</v>
      </c>
      <c r="P407" s="446">
        <v>0</v>
      </c>
      <c r="Q407" s="446">
        <v>0</v>
      </c>
      <c r="R407" s="431"/>
      <c r="S407" s="431"/>
      <c r="T407" s="431"/>
      <c r="U407" s="431"/>
      <c r="V407" s="110"/>
      <c r="W407" s="110"/>
      <c r="X407" s="110"/>
    </row>
    <row r="408" spans="1:24" ht="39" customHeight="1" x14ac:dyDescent="0.25">
      <c r="A408" s="428" t="s">
        <v>1806</v>
      </c>
      <c r="B408" s="429"/>
      <c r="C408" s="428" t="s">
        <v>1812</v>
      </c>
      <c r="D408" s="429"/>
      <c r="E408" s="429"/>
      <c r="F408" s="429"/>
      <c r="G408" s="429"/>
      <c r="H408" s="429"/>
      <c r="I408" s="429"/>
      <c r="J408" s="429"/>
      <c r="K408" s="446">
        <v>0</v>
      </c>
      <c r="L408" s="446">
        <v>0</v>
      </c>
      <c r="M408" s="446">
        <v>0</v>
      </c>
      <c r="N408" s="446">
        <v>0</v>
      </c>
      <c r="O408" s="446">
        <v>0</v>
      </c>
      <c r="P408" s="446">
        <v>0</v>
      </c>
      <c r="Q408" s="446">
        <v>0</v>
      </c>
      <c r="R408" s="431"/>
      <c r="S408" s="431"/>
      <c r="T408" s="431"/>
      <c r="U408" s="431"/>
      <c r="V408" s="110"/>
      <c r="W408" s="110"/>
      <c r="X408" s="110"/>
    </row>
    <row r="409" spans="1:24" ht="39" customHeight="1" x14ac:dyDescent="0.25">
      <c r="A409" s="391" t="s">
        <v>1661</v>
      </c>
      <c r="B409" s="414"/>
      <c r="C409" s="391" t="s">
        <v>1800</v>
      </c>
      <c r="D409" s="414"/>
      <c r="E409" s="414"/>
      <c r="F409" s="414"/>
      <c r="G409" s="414"/>
      <c r="H409" s="414"/>
      <c r="I409" s="414"/>
      <c r="J409" s="414"/>
      <c r="K409" s="416">
        <f t="shared" ref="K409:Q409" si="89">K410+K414+K439</f>
        <v>71160442.940000013</v>
      </c>
      <c r="L409" s="416">
        <f t="shared" si="89"/>
        <v>6455628.0799999991</v>
      </c>
      <c r="M409" s="416">
        <f t="shared" si="89"/>
        <v>0</v>
      </c>
      <c r="N409" s="416">
        <f t="shared" si="89"/>
        <v>22173613.120000001</v>
      </c>
      <c r="O409" s="416">
        <f t="shared" si="89"/>
        <v>0</v>
      </c>
      <c r="P409" s="416">
        <f t="shared" si="89"/>
        <v>42531201.740000002</v>
      </c>
      <c r="Q409" s="416">
        <f t="shared" si="89"/>
        <v>0</v>
      </c>
      <c r="R409" s="417"/>
      <c r="S409" s="417"/>
      <c r="T409" s="417"/>
      <c r="U409" s="417"/>
      <c r="V409" s="110"/>
      <c r="W409" s="110"/>
      <c r="X409" s="110"/>
    </row>
    <row r="410" spans="1:24" ht="39" customHeight="1" x14ac:dyDescent="0.25">
      <c r="A410" s="428" t="s">
        <v>1813</v>
      </c>
      <c r="B410" s="429"/>
      <c r="C410" s="428" t="s">
        <v>1816</v>
      </c>
      <c r="D410" s="429"/>
      <c r="E410" s="429"/>
      <c r="F410" s="429"/>
      <c r="G410" s="429"/>
      <c r="H410" s="429"/>
      <c r="I410" s="429"/>
      <c r="J410" s="429"/>
      <c r="K410" s="433">
        <f t="shared" ref="K410:Q410" si="90">SUM(K411:K413)</f>
        <v>6949051.5800000001</v>
      </c>
      <c r="L410" s="433">
        <f t="shared" si="90"/>
        <v>962936.75</v>
      </c>
      <c r="M410" s="433">
        <f t="shared" si="90"/>
        <v>0</v>
      </c>
      <c r="N410" s="433">
        <f t="shared" si="90"/>
        <v>1440246.73</v>
      </c>
      <c r="O410" s="433">
        <f t="shared" si="90"/>
        <v>0</v>
      </c>
      <c r="P410" s="433">
        <f t="shared" si="90"/>
        <v>4545868.0999999996</v>
      </c>
      <c r="Q410" s="433">
        <f t="shared" si="90"/>
        <v>0</v>
      </c>
      <c r="R410" s="431"/>
      <c r="S410" s="431"/>
      <c r="T410" s="431"/>
      <c r="U410" s="431"/>
      <c r="V410" s="110"/>
      <c r="W410" s="110"/>
      <c r="X410" s="110"/>
    </row>
    <row r="411" spans="1:24" ht="39" customHeight="1" x14ac:dyDescent="0.25">
      <c r="A411" s="31" t="s">
        <v>15</v>
      </c>
      <c r="B411" s="279" t="s">
        <v>720</v>
      </c>
      <c r="C411" s="19" t="s">
        <v>7</v>
      </c>
      <c r="D411" s="16" t="s">
        <v>1703</v>
      </c>
      <c r="E411" s="12" t="s">
        <v>776</v>
      </c>
      <c r="F411" s="16" t="s">
        <v>1455</v>
      </c>
      <c r="G411" s="11" t="s">
        <v>1235</v>
      </c>
      <c r="H411" s="20" t="s">
        <v>1586</v>
      </c>
      <c r="I411" s="16"/>
      <c r="J411" s="16"/>
      <c r="K411" s="223">
        <f>L411+M411+N411+O411+P411</f>
        <v>4249341.58</v>
      </c>
      <c r="L411" s="223">
        <f>900000+27936.75</f>
        <v>927936.75</v>
      </c>
      <c r="M411" s="223">
        <v>0</v>
      </c>
      <c r="N411" s="223">
        <v>190246.73</v>
      </c>
      <c r="O411" s="222">
        <v>0</v>
      </c>
      <c r="P411" s="223">
        <f>2944913.07+186245.03</f>
        <v>3131158.0999999996</v>
      </c>
      <c r="Q411" s="222">
        <v>0</v>
      </c>
      <c r="R411" s="220" t="s">
        <v>1419</v>
      </c>
      <c r="S411" s="214" t="s">
        <v>1320</v>
      </c>
      <c r="T411" s="214" t="s">
        <v>1480</v>
      </c>
      <c r="U411" s="214">
        <v>2019</v>
      </c>
      <c r="V411" s="110"/>
      <c r="W411" s="110"/>
      <c r="X411" s="110"/>
    </row>
    <row r="412" spans="1:24" ht="39" customHeight="1" x14ac:dyDescent="0.25">
      <c r="A412" s="31" t="s">
        <v>79</v>
      </c>
      <c r="B412" s="279" t="s">
        <v>721</v>
      </c>
      <c r="C412" s="19" t="s">
        <v>80</v>
      </c>
      <c r="D412" s="15" t="s">
        <v>212</v>
      </c>
      <c r="E412" s="13" t="s">
        <v>776</v>
      </c>
      <c r="F412" s="15" t="s">
        <v>1456</v>
      </c>
      <c r="G412" s="10" t="s">
        <v>1235</v>
      </c>
      <c r="H412" s="37" t="s">
        <v>1586</v>
      </c>
      <c r="I412" s="15"/>
      <c r="J412" s="15" t="s">
        <v>797</v>
      </c>
      <c r="K412" s="223">
        <f>L412+M412+N412+O412+P412</f>
        <v>2500000</v>
      </c>
      <c r="L412" s="223">
        <v>0</v>
      </c>
      <c r="M412" s="223">
        <v>0</v>
      </c>
      <c r="N412" s="223">
        <v>1250000</v>
      </c>
      <c r="O412" s="222">
        <v>0</v>
      </c>
      <c r="P412" s="223">
        <v>1250000</v>
      </c>
      <c r="Q412" s="222">
        <v>0</v>
      </c>
      <c r="R412" s="220" t="s">
        <v>1347</v>
      </c>
      <c r="S412" s="214" t="s">
        <v>62</v>
      </c>
      <c r="T412" s="214" t="s">
        <v>44</v>
      </c>
      <c r="U412" s="214">
        <v>2021</v>
      </c>
      <c r="V412" s="110"/>
      <c r="W412" s="110"/>
      <c r="X412" s="110"/>
    </row>
    <row r="413" spans="1:24" ht="39" customHeight="1" x14ac:dyDescent="0.25">
      <c r="A413" s="31" t="s">
        <v>1701</v>
      </c>
      <c r="B413" s="279" t="s">
        <v>722</v>
      </c>
      <c r="C413" s="19" t="s">
        <v>1702</v>
      </c>
      <c r="D413" s="16" t="s">
        <v>1703</v>
      </c>
      <c r="E413" s="12" t="s">
        <v>776</v>
      </c>
      <c r="F413" s="16" t="s">
        <v>1455</v>
      </c>
      <c r="G413" s="11" t="s">
        <v>1235</v>
      </c>
      <c r="H413" s="20" t="s">
        <v>1586</v>
      </c>
      <c r="I413" s="15"/>
      <c r="J413" s="15"/>
      <c r="K413" s="223">
        <f>L413+M413+N413+O413+P413</f>
        <v>199710</v>
      </c>
      <c r="L413" s="223">
        <v>35000</v>
      </c>
      <c r="M413" s="223">
        <v>0</v>
      </c>
      <c r="N413" s="223">
        <v>0</v>
      </c>
      <c r="O413" s="222">
        <v>0</v>
      </c>
      <c r="P413" s="223">
        <v>164710</v>
      </c>
      <c r="Q413" s="222">
        <v>0</v>
      </c>
      <c r="R413" s="220" t="s">
        <v>66</v>
      </c>
      <c r="S413" s="214" t="s">
        <v>138</v>
      </c>
      <c r="T413" s="214" t="s">
        <v>1347</v>
      </c>
      <c r="U413" s="214">
        <v>2020</v>
      </c>
      <c r="V413" s="110"/>
      <c r="W413" s="110"/>
      <c r="X413" s="110"/>
    </row>
    <row r="414" spans="1:24" ht="39" customHeight="1" x14ac:dyDescent="0.25">
      <c r="A414" s="428" t="s">
        <v>1814</v>
      </c>
      <c r="B414" s="429"/>
      <c r="C414" s="428" t="s">
        <v>1817</v>
      </c>
      <c r="D414" s="429"/>
      <c r="E414" s="429"/>
      <c r="F414" s="429"/>
      <c r="G414" s="429"/>
      <c r="H414" s="429"/>
      <c r="I414" s="429"/>
      <c r="J414" s="429"/>
      <c r="K414" s="433">
        <f t="shared" ref="K414:P414" si="91">SUM(K415:K438)</f>
        <v>64211391.360000007</v>
      </c>
      <c r="L414" s="433">
        <f t="shared" si="91"/>
        <v>5492691.3299999991</v>
      </c>
      <c r="M414" s="433">
        <f t="shared" si="91"/>
        <v>0</v>
      </c>
      <c r="N414" s="433">
        <f t="shared" si="91"/>
        <v>20733366.390000001</v>
      </c>
      <c r="O414" s="433">
        <f t="shared" si="91"/>
        <v>0</v>
      </c>
      <c r="P414" s="433">
        <f t="shared" si="91"/>
        <v>37985333.640000001</v>
      </c>
      <c r="Q414" s="433">
        <f>SUM(Q415:Q438)</f>
        <v>0</v>
      </c>
      <c r="R414" s="433"/>
      <c r="S414" s="431"/>
      <c r="T414" s="431"/>
      <c r="U414" s="431"/>
      <c r="V414" s="110"/>
      <c r="W414" s="110"/>
      <c r="X414" s="110"/>
    </row>
    <row r="415" spans="1:24" ht="39" customHeight="1" x14ac:dyDescent="0.25">
      <c r="A415" s="23" t="s">
        <v>774</v>
      </c>
      <c r="B415" s="279" t="s">
        <v>723</v>
      </c>
      <c r="C415" s="23" t="s">
        <v>1295</v>
      </c>
      <c r="D415" s="11" t="s">
        <v>775</v>
      </c>
      <c r="E415" s="11" t="s">
        <v>776</v>
      </c>
      <c r="F415" s="11" t="s">
        <v>1446</v>
      </c>
      <c r="G415" s="11" t="s">
        <v>1235</v>
      </c>
      <c r="H415" s="22" t="s">
        <v>1586</v>
      </c>
      <c r="I415" s="22"/>
      <c r="J415" s="250"/>
      <c r="K415" s="201">
        <f>L415+M415+N415+O415+P415</f>
        <v>6546671.6399999997</v>
      </c>
      <c r="L415" s="201">
        <f>2213718.08+16585</f>
        <v>2230303.08</v>
      </c>
      <c r="M415" s="201">
        <v>0</v>
      </c>
      <c r="N415" s="201">
        <v>0</v>
      </c>
      <c r="O415" s="201">
        <v>0</v>
      </c>
      <c r="P415" s="201">
        <f>4250029.56+66339</f>
        <v>4316368.5599999996</v>
      </c>
      <c r="Q415" s="201">
        <v>0</v>
      </c>
      <c r="R415" s="220" t="s">
        <v>1419</v>
      </c>
      <c r="S415" s="201" t="s">
        <v>1317</v>
      </c>
      <c r="T415" s="201" t="s">
        <v>1320</v>
      </c>
      <c r="U415" s="214">
        <v>2019</v>
      </c>
      <c r="V415" s="110"/>
      <c r="W415" s="110"/>
      <c r="X415" s="110"/>
    </row>
    <row r="416" spans="1:24" ht="39" customHeight="1" x14ac:dyDescent="0.25">
      <c r="A416" s="23" t="s">
        <v>777</v>
      </c>
      <c r="B416" s="279" t="s">
        <v>724</v>
      </c>
      <c r="C416" s="30" t="s">
        <v>783</v>
      </c>
      <c r="D416" s="11" t="s">
        <v>1296</v>
      </c>
      <c r="E416" s="47" t="s">
        <v>776</v>
      </c>
      <c r="F416" s="11" t="s">
        <v>1446</v>
      </c>
      <c r="G416" s="11" t="s">
        <v>1235</v>
      </c>
      <c r="H416" s="87" t="s">
        <v>1586</v>
      </c>
      <c r="I416" s="87"/>
      <c r="J416" s="87" t="s">
        <v>1297</v>
      </c>
      <c r="K416" s="201">
        <f t="shared" ref="K416:K438" si="92">L416+M416+N416+O416+P416</f>
        <v>78751</v>
      </c>
      <c r="L416" s="199">
        <v>32542</v>
      </c>
      <c r="M416" s="199">
        <v>0</v>
      </c>
      <c r="N416" s="199">
        <v>13667</v>
      </c>
      <c r="O416" s="199">
        <v>0</v>
      </c>
      <c r="P416" s="199">
        <v>32542</v>
      </c>
      <c r="Q416" s="201">
        <v>0</v>
      </c>
      <c r="R416" s="205" t="s">
        <v>1318</v>
      </c>
      <c r="S416" s="205" t="s">
        <v>1345</v>
      </c>
      <c r="T416" s="205" t="s">
        <v>1344</v>
      </c>
      <c r="U416" s="193">
        <v>2019</v>
      </c>
      <c r="V416" s="111"/>
      <c r="W416" s="111"/>
      <c r="X416" s="110"/>
    </row>
    <row r="417" spans="1:24" ht="39" customHeight="1" x14ac:dyDescent="0.25">
      <c r="A417" s="23" t="s">
        <v>778</v>
      </c>
      <c r="B417" s="279" t="s">
        <v>725</v>
      </c>
      <c r="C417" s="30" t="s">
        <v>1298</v>
      </c>
      <c r="D417" s="11" t="s">
        <v>1296</v>
      </c>
      <c r="E417" s="47" t="s">
        <v>776</v>
      </c>
      <c r="F417" s="11" t="s">
        <v>1446</v>
      </c>
      <c r="G417" s="11" t="s">
        <v>1235</v>
      </c>
      <c r="H417" s="87" t="s">
        <v>1586</v>
      </c>
      <c r="I417" s="87"/>
      <c r="J417" s="87" t="s">
        <v>1297</v>
      </c>
      <c r="K417" s="201">
        <f t="shared" si="92"/>
        <v>70053</v>
      </c>
      <c r="L417" s="199">
        <v>28947</v>
      </c>
      <c r="M417" s="199">
        <v>0</v>
      </c>
      <c r="N417" s="199">
        <v>12158</v>
      </c>
      <c r="O417" s="199">
        <v>0</v>
      </c>
      <c r="P417" s="199">
        <v>28948</v>
      </c>
      <c r="Q417" s="201">
        <v>0</v>
      </c>
      <c r="R417" s="205" t="s">
        <v>1318</v>
      </c>
      <c r="S417" s="205" t="s">
        <v>1345</v>
      </c>
      <c r="T417" s="205" t="s">
        <v>1344</v>
      </c>
      <c r="U417" s="193">
        <v>2019</v>
      </c>
      <c r="V417" s="111"/>
      <c r="W417" s="111"/>
      <c r="X417" s="110"/>
    </row>
    <row r="418" spans="1:24" ht="39" customHeight="1" x14ac:dyDescent="0.25">
      <c r="A418" s="23" t="s">
        <v>779</v>
      </c>
      <c r="B418" s="279" t="s">
        <v>726</v>
      </c>
      <c r="C418" s="30" t="s">
        <v>1299</v>
      </c>
      <c r="D418" s="11" t="s">
        <v>1296</v>
      </c>
      <c r="E418" s="47" t="s">
        <v>776</v>
      </c>
      <c r="F418" s="11" t="s">
        <v>1446</v>
      </c>
      <c r="G418" s="11" t="s">
        <v>1235</v>
      </c>
      <c r="H418" s="87" t="s">
        <v>1586</v>
      </c>
      <c r="I418" s="87"/>
      <c r="J418" s="87" t="s">
        <v>1297</v>
      </c>
      <c r="K418" s="201">
        <f t="shared" si="92"/>
        <v>78892</v>
      </c>
      <c r="L418" s="199">
        <v>32600</v>
      </c>
      <c r="M418" s="199">
        <v>0</v>
      </c>
      <c r="N418" s="199">
        <v>13692</v>
      </c>
      <c r="O418" s="199">
        <v>0</v>
      </c>
      <c r="P418" s="199">
        <v>32600</v>
      </c>
      <c r="Q418" s="201">
        <v>0</v>
      </c>
      <c r="R418" s="205" t="s">
        <v>1318</v>
      </c>
      <c r="S418" s="205" t="s">
        <v>1345</v>
      </c>
      <c r="T418" s="205" t="s">
        <v>1344</v>
      </c>
      <c r="U418" s="193">
        <v>2019</v>
      </c>
      <c r="V418" s="111"/>
      <c r="W418" s="111"/>
      <c r="X418" s="110"/>
    </row>
    <row r="419" spans="1:24" ht="39" customHeight="1" x14ac:dyDescent="0.25">
      <c r="A419" s="23" t="s">
        <v>780</v>
      </c>
      <c r="B419" s="279" t="s">
        <v>727</v>
      </c>
      <c r="C419" s="30" t="s">
        <v>1300</v>
      </c>
      <c r="D419" s="11" t="s">
        <v>1296</v>
      </c>
      <c r="E419" s="47" t="s">
        <v>776</v>
      </c>
      <c r="F419" s="11" t="s">
        <v>1446</v>
      </c>
      <c r="G419" s="11" t="s">
        <v>1235</v>
      </c>
      <c r="H419" s="87" t="s">
        <v>1586</v>
      </c>
      <c r="I419" s="87"/>
      <c r="J419" s="87" t="s">
        <v>1297</v>
      </c>
      <c r="K419" s="201">
        <f t="shared" si="92"/>
        <v>167122</v>
      </c>
      <c r="L419" s="199">
        <v>69058</v>
      </c>
      <c r="M419" s="199">
        <v>0</v>
      </c>
      <c r="N419" s="199">
        <v>29005</v>
      </c>
      <c r="O419" s="199">
        <v>0</v>
      </c>
      <c r="P419" s="199">
        <v>69059</v>
      </c>
      <c r="Q419" s="201">
        <v>0</v>
      </c>
      <c r="R419" s="205" t="s">
        <v>1318</v>
      </c>
      <c r="S419" s="205" t="s">
        <v>1345</v>
      </c>
      <c r="T419" s="205" t="s">
        <v>1344</v>
      </c>
      <c r="U419" s="193">
        <v>2019</v>
      </c>
      <c r="V419" s="111"/>
      <c r="W419" s="111"/>
      <c r="X419" s="110"/>
    </row>
    <row r="420" spans="1:24" ht="39" customHeight="1" x14ac:dyDescent="0.25">
      <c r="A420" s="23" t="s">
        <v>781</v>
      </c>
      <c r="B420" s="279" t="s">
        <v>728</v>
      </c>
      <c r="C420" s="30" t="s">
        <v>789</v>
      </c>
      <c r="D420" s="11" t="s">
        <v>1296</v>
      </c>
      <c r="E420" s="47" t="s">
        <v>776</v>
      </c>
      <c r="F420" s="11" t="s">
        <v>1446</v>
      </c>
      <c r="G420" s="11" t="s">
        <v>1235</v>
      </c>
      <c r="H420" s="87" t="s">
        <v>1586</v>
      </c>
      <c r="I420" s="87"/>
      <c r="J420" s="87" t="s">
        <v>1297</v>
      </c>
      <c r="K420" s="201">
        <f t="shared" si="92"/>
        <v>969246</v>
      </c>
      <c r="L420" s="199">
        <v>160206</v>
      </c>
      <c r="M420" s="199">
        <v>0</v>
      </c>
      <c r="N420" s="199">
        <v>168216</v>
      </c>
      <c r="O420" s="199">
        <v>0</v>
      </c>
      <c r="P420" s="199">
        <v>640824</v>
      </c>
      <c r="Q420" s="201">
        <v>0</v>
      </c>
      <c r="R420" s="205" t="s">
        <v>1345</v>
      </c>
      <c r="S420" s="205" t="s">
        <v>1316</v>
      </c>
      <c r="T420" s="205" t="s">
        <v>1325</v>
      </c>
      <c r="U420" s="193">
        <v>2020</v>
      </c>
      <c r="V420" s="111"/>
      <c r="W420" s="111"/>
      <c r="X420" s="110"/>
    </row>
    <row r="421" spans="1:24" ht="39" customHeight="1" x14ac:dyDescent="0.25">
      <c r="A421" s="23" t="s">
        <v>782</v>
      </c>
      <c r="B421" s="279" t="s">
        <v>729</v>
      </c>
      <c r="C421" s="30" t="s">
        <v>1305</v>
      </c>
      <c r="D421" s="11" t="s">
        <v>1296</v>
      </c>
      <c r="E421" s="47" t="s">
        <v>776</v>
      </c>
      <c r="F421" s="11" t="s">
        <v>1446</v>
      </c>
      <c r="G421" s="11" t="s">
        <v>1235</v>
      </c>
      <c r="H421" s="87" t="s">
        <v>1586</v>
      </c>
      <c r="I421" s="87"/>
      <c r="J421" s="87" t="s">
        <v>1297</v>
      </c>
      <c r="K421" s="201">
        <f t="shared" si="92"/>
        <v>822800</v>
      </c>
      <c r="L421" s="199">
        <v>136000</v>
      </c>
      <c r="M421" s="199">
        <v>0</v>
      </c>
      <c r="N421" s="199">
        <v>142800</v>
      </c>
      <c r="O421" s="199">
        <v>0</v>
      </c>
      <c r="P421" s="199">
        <v>544000</v>
      </c>
      <c r="Q421" s="201">
        <v>0</v>
      </c>
      <c r="R421" s="205" t="s">
        <v>1345</v>
      </c>
      <c r="S421" s="205" t="s">
        <v>1316</v>
      </c>
      <c r="T421" s="205" t="s">
        <v>1325</v>
      </c>
      <c r="U421" s="193">
        <v>2020</v>
      </c>
      <c r="V421" s="111"/>
      <c r="W421" s="111"/>
      <c r="X421" s="110"/>
    </row>
    <row r="422" spans="1:24" ht="39" customHeight="1" x14ac:dyDescent="0.25">
      <c r="A422" s="23" t="s">
        <v>784</v>
      </c>
      <c r="B422" s="279" t="s">
        <v>730</v>
      </c>
      <c r="C422" s="30" t="s">
        <v>1301</v>
      </c>
      <c r="D422" s="11" t="s">
        <v>1296</v>
      </c>
      <c r="E422" s="47" t="s">
        <v>776</v>
      </c>
      <c r="F422" s="11" t="s">
        <v>1446</v>
      </c>
      <c r="G422" s="11" t="s">
        <v>1235</v>
      </c>
      <c r="H422" s="87" t="s">
        <v>1586</v>
      </c>
      <c r="I422" s="87"/>
      <c r="J422" s="87" t="s">
        <v>1297</v>
      </c>
      <c r="K422" s="201">
        <f t="shared" si="92"/>
        <v>1060000</v>
      </c>
      <c r="L422" s="199">
        <v>438016</v>
      </c>
      <c r="M422" s="199">
        <v>0</v>
      </c>
      <c r="N422" s="199">
        <v>183967</v>
      </c>
      <c r="O422" s="199">
        <v>0</v>
      </c>
      <c r="P422" s="199">
        <v>438017</v>
      </c>
      <c r="Q422" s="201">
        <v>0</v>
      </c>
      <c r="R422" s="205" t="s">
        <v>1345</v>
      </c>
      <c r="S422" s="205" t="s">
        <v>1316</v>
      </c>
      <c r="T422" s="205" t="s">
        <v>1325</v>
      </c>
      <c r="U422" s="193">
        <v>2020</v>
      </c>
      <c r="V422" s="111"/>
      <c r="W422" s="111"/>
      <c r="X422" s="110"/>
    </row>
    <row r="423" spans="1:24" ht="39" customHeight="1" x14ac:dyDescent="0.25">
      <c r="A423" s="23" t="s">
        <v>785</v>
      </c>
      <c r="B423" s="279" t="s">
        <v>731</v>
      </c>
      <c r="C423" s="30" t="s">
        <v>1302</v>
      </c>
      <c r="D423" s="11" t="s">
        <v>1296</v>
      </c>
      <c r="E423" s="47" t="s">
        <v>776</v>
      </c>
      <c r="F423" s="11" t="s">
        <v>1446</v>
      </c>
      <c r="G423" s="11" t="s">
        <v>1235</v>
      </c>
      <c r="H423" s="87" t="s">
        <v>1586</v>
      </c>
      <c r="I423" s="87"/>
      <c r="J423" s="87" t="s">
        <v>1297</v>
      </c>
      <c r="K423" s="201">
        <f t="shared" si="92"/>
        <v>302500</v>
      </c>
      <c r="L423" s="199">
        <v>125000</v>
      </c>
      <c r="M423" s="199">
        <v>0</v>
      </c>
      <c r="N423" s="199">
        <v>52500</v>
      </c>
      <c r="O423" s="199">
        <v>0</v>
      </c>
      <c r="P423" s="199">
        <v>125000</v>
      </c>
      <c r="Q423" s="201">
        <v>0</v>
      </c>
      <c r="R423" s="205" t="s">
        <v>1345</v>
      </c>
      <c r="S423" s="205" t="s">
        <v>1316</v>
      </c>
      <c r="T423" s="205" t="s">
        <v>1325</v>
      </c>
      <c r="U423" s="193">
        <v>2020</v>
      </c>
      <c r="V423" s="111"/>
      <c r="W423" s="111"/>
      <c r="X423" s="110"/>
    </row>
    <row r="424" spans="1:24" ht="39" customHeight="1" x14ac:dyDescent="0.25">
      <c r="A424" s="23" t="s">
        <v>786</v>
      </c>
      <c r="B424" s="279" t="s">
        <v>732</v>
      </c>
      <c r="C424" s="30" t="s">
        <v>798</v>
      </c>
      <c r="D424" s="11" t="s">
        <v>1296</v>
      </c>
      <c r="E424" s="47" t="s">
        <v>776</v>
      </c>
      <c r="F424" s="11" t="s">
        <v>1446</v>
      </c>
      <c r="G424" s="11" t="s">
        <v>1235</v>
      </c>
      <c r="H424" s="87" t="s">
        <v>1586</v>
      </c>
      <c r="I424" s="87"/>
      <c r="J424" s="87" t="s">
        <v>1297</v>
      </c>
      <c r="K424" s="201">
        <f t="shared" si="92"/>
        <v>270000</v>
      </c>
      <c r="L424" s="199">
        <v>111570</v>
      </c>
      <c r="M424" s="199">
        <v>0</v>
      </c>
      <c r="N424" s="199">
        <v>46860</v>
      </c>
      <c r="O424" s="199">
        <v>0</v>
      </c>
      <c r="P424" s="199">
        <v>111570</v>
      </c>
      <c r="Q424" s="201">
        <v>0</v>
      </c>
      <c r="R424" s="205" t="s">
        <v>1345</v>
      </c>
      <c r="S424" s="205" t="s">
        <v>1316</v>
      </c>
      <c r="T424" s="205" t="s">
        <v>1325</v>
      </c>
      <c r="U424" s="193">
        <v>2020</v>
      </c>
      <c r="V424" s="111"/>
      <c r="W424" s="111"/>
      <c r="X424" s="110"/>
    </row>
    <row r="425" spans="1:24" ht="39" customHeight="1" x14ac:dyDescent="0.25">
      <c r="A425" s="23" t="s">
        <v>787</v>
      </c>
      <c r="B425" s="279" t="s">
        <v>733</v>
      </c>
      <c r="C425" s="30" t="s">
        <v>1303</v>
      </c>
      <c r="D425" s="11" t="s">
        <v>1296</v>
      </c>
      <c r="E425" s="47" t="s">
        <v>776</v>
      </c>
      <c r="F425" s="11" t="s">
        <v>1446</v>
      </c>
      <c r="G425" s="11" t="s">
        <v>1235</v>
      </c>
      <c r="H425" s="87" t="s">
        <v>1586</v>
      </c>
      <c r="I425" s="87"/>
      <c r="J425" s="87" t="s">
        <v>1297</v>
      </c>
      <c r="K425" s="201">
        <f t="shared" si="92"/>
        <v>450000</v>
      </c>
      <c r="L425" s="199">
        <v>185950</v>
      </c>
      <c r="M425" s="199">
        <v>0</v>
      </c>
      <c r="N425" s="199">
        <v>78099</v>
      </c>
      <c r="O425" s="199">
        <v>0</v>
      </c>
      <c r="P425" s="199">
        <v>185951</v>
      </c>
      <c r="Q425" s="201">
        <v>0</v>
      </c>
      <c r="R425" s="205" t="s">
        <v>1345</v>
      </c>
      <c r="S425" s="205" t="s">
        <v>1316</v>
      </c>
      <c r="T425" s="205" t="s">
        <v>1325</v>
      </c>
      <c r="U425" s="193">
        <v>2020</v>
      </c>
      <c r="V425" s="111"/>
      <c r="W425" s="111"/>
      <c r="X425" s="110"/>
    </row>
    <row r="426" spans="1:24" ht="39" customHeight="1" x14ac:dyDescent="0.25">
      <c r="A426" s="23" t="s">
        <v>788</v>
      </c>
      <c r="B426" s="279" t="s">
        <v>734</v>
      </c>
      <c r="C426" s="30" t="s">
        <v>1304</v>
      </c>
      <c r="D426" s="11" t="s">
        <v>1296</v>
      </c>
      <c r="E426" s="47" t="s">
        <v>776</v>
      </c>
      <c r="F426" s="11" t="s">
        <v>1446</v>
      </c>
      <c r="G426" s="11" t="s">
        <v>1235</v>
      </c>
      <c r="H426" s="87" t="s">
        <v>1586</v>
      </c>
      <c r="I426" s="87"/>
      <c r="J426" s="87" t="s">
        <v>1297</v>
      </c>
      <c r="K426" s="201">
        <f t="shared" si="92"/>
        <v>269300</v>
      </c>
      <c r="L426" s="199">
        <v>111281</v>
      </c>
      <c r="M426" s="199">
        <v>0</v>
      </c>
      <c r="N426" s="199">
        <v>46738</v>
      </c>
      <c r="O426" s="199">
        <v>0</v>
      </c>
      <c r="P426" s="199">
        <v>111281</v>
      </c>
      <c r="Q426" s="201">
        <v>0</v>
      </c>
      <c r="R426" s="205" t="s">
        <v>1345</v>
      </c>
      <c r="S426" s="205" t="s">
        <v>1316</v>
      </c>
      <c r="T426" s="205" t="s">
        <v>1325</v>
      </c>
      <c r="U426" s="193">
        <v>2020</v>
      </c>
      <c r="V426" s="111"/>
      <c r="W426" s="111"/>
      <c r="X426" s="110"/>
    </row>
    <row r="427" spans="1:24" ht="39" customHeight="1" x14ac:dyDescent="0.25">
      <c r="A427" s="23" t="s">
        <v>790</v>
      </c>
      <c r="B427" s="279" t="s">
        <v>735</v>
      </c>
      <c r="C427" s="19" t="s">
        <v>833</v>
      </c>
      <c r="D427" s="16" t="s">
        <v>832</v>
      </c>
      <c r="E427" s="12" t="s">
        <v>776</v>
      </c>
      <c r="F427" s="12" t="s">
        <v>1455</v>
      </c>
      <c r="G427" s="14" t="s">
        <v>1235</v>
      </c>
      <c r="H427" s="18" t="s">
        <v>1586</v>
      </c>
      <c r="I427" s="12"/>
      <c r="J427" s="12" t="s">
        <v>1313</v>
      </c>
      <c r="K427" s="201">
        <f t="shared" si="92"/>
        <v>1607744.8199999998</v>
      </c>
      <c r="L427" s="223">
        <v>535914.93999999994</v>
      </c>
      <c r="M427" s="223">
        <v>0</v>
      </c>
      <c r="N427" s="223">
        <v>0</v>
      </c>
      <c r="O427" s="223">
        <v>0</v>
      </c>
      <c r="P427" s="223">
        <v>1071829.8799999999</v>
      </c>
      <c r="Q427" s="201">
        <v>0</v>
      </c>
      <c r="R427" s="220" t="s">
        <v>1350</v>
      </c>
      <c r="S427" s="214" t="s">
        <v>95</v>
      </c>
      <c r="T427" s="214" t="s">
        <v>96</v>
      </c>
      <c r="U427" s="214">
        <v>2020</v>
      </c>
      <c r="V427" s="111"/>
      <c r="W427" s="111"/>
      <c r="X427" s="110"/>
    </row>
    <row r="428" spans="1:24" ht="39" customHeight="1" x14ac:dyDescent="0.25">
      <c r="A428" s="23" t="s">
        <v>791</v>
      </c>
      <c r="B428" s="279" t="s">
        <v>736</v>
      </c>
      <c r="C428" s="30" t="s">
        <v>17</v>
      </c>
      <c r="D428" s="11" t="s">
        <v>1202</v>
      </c>
      <c r="E428" s="11" t="s">
        <v>776</v>
      </c>
      <c r="F428" s="11" t="s">
        <v>1400</v>
      </c>
      <c r="G428" s="14" t="s">
        <v>1235</v>
      </c>
      <c r="H428" s="22" t="s">
        <v>1586</v>
      </c>
      <c r="I428" s="11" t="s">
        <v>858</v>
      </c>
      <c r="J428" s="11"/>
      <c r="K428" s="201">
        <f t="shared" si="92"/>
        <v>20748906.02</v>
      </c>
      <c r="L428" s="204">
        <v>0</v>
      </c>
      <c r="M428" s="204">
        <v>0</v>
      </c>
      <c r="N428" s="204">
        <f>11056607.49+535565.01</f>
        <v>11592172.5</v>
      </c>
      <c r="O428" s="204">
        <v>0</v>
      </c>
      <c r="P428" s="204">
        <f>8621168.51+535565.01</f>
        <v>9156733.5199999996</v>
      </c>
      <c r="Q428" s="201">
        <v>0</v>
      </c>
      <c r="R428" s="188" t="s">
        <v>1419</v>
      </c>
      <c r="S428" s="188" t="s">
        <v>1421</v>
      </c>
      <c r="T428" s="197" t="s">
        <v>1321</v>
      </c>
      <c r="U428" s="188">
        <v>2019</v>
      </c>
      <c r="V428" s="110"/>
      <c r="W428" s="110"/>
      <c r="X428" s="110"/>
    </row>
    <row r="429" spans="1:24" ht="39" customHeight="1" x14ac:dyDescent="0.25">
      <c r="A429" s="23" t="s">
        <v>792</v>
      </c>
      <c r="B429" s="279" t="s">
        <v>737</v>
      </c>
      <c r="C429" s="23" t="s">
        <v>1211</v>
      </c>
      <c r="D429" s="11" t="s">
        <v>1212</v>
      </c>
      <c r="E429" s="11" t="s">
        <v>776</v>
      </c>
      <c r="F429" s="11" t="s">
        <v>1456</v>
      </c>
      <c r="G429" s="14" t="s">
        <v>1235</v>
      </c>
      <c r="H429" s="22" t="s">
        <v>1586</v>
      </c>
      <c r="I429" s="11"/>
      <c r="J429" s="11"/>
      <c r="K429" s="201">
        <f t="shared" si="92"/>
        <v>3972884.7300000004</v>
      </c>
      <c r="L429" s="204">
        <v>340986.92</v>
      </c>
      <c r="M429" s="204">
        <v>0</v>
      </c>
      <c r="N429" s="204">
        <v>1191151.32</v>
      </c>
      <c r="O429" s="204">
        <v>0</v>
      </c>
      <c r="P429" s="204">
        <v>2440746.4900000002</v>
      </c>
      <c r="Q429" s="201">
        <v>0</v>
      </c>
      <c r="R429" s="197" t="s">
        <v>1323</v>
      </c>
      <c r="S429" s="188" t="s">
        <v>1325</v>
      </c>
      <c r="T429" s="197" t="s">
        <v>66</v>
      </c>
      <c r="U429" s="188">
        <v>2021</v>
      </c>
      <c r="V429" s="110"/>
      <c r="W429" s="110"/>
      <c r="X429" s="110"/>
    </row>
    <row r="430" spans="1:24" ht="39" customHeight="1" x14ac:dyDescent="0.25">
      <c r="A430" s="23" t="s">
        <v>793</v>
      </c>
      <c r="B430" s="279" t="s">
        <v>738</v>
      </c>
      <c r="C430" s="23" t="s">
        <v>81</v>
      </c>
      <c r="D430" s="10" t="s">
        <v>1206</v>
      </c>
      <c r="E430" s="10" t="s">
        <v>776</v>
      </c>
      <c r="F430" s="10" t="s">
        <v>1147</v>
      </c>
      <c r="G430" s="9" t="s">
        <v>1235</v>
      </c>
      <c r="H430" s="24" t="s">
        <v>1586</v>
      </c>
      <c r="I430" s="10"/>
      <c r="J430" s="10"/>
      <c r="K430" s="201">
        <f t="shared" si="92"/>
        <v>2304260.1100000003</v>
      </c>
      <c r="L430" s="204">
        <v>0</v>
      </c>
      <c r="M430" s="204">
        <v>0</v>
      </c>
      <c r="N430" s="204">
        <f>1092248.35+68574.51</f>
        <v>1160822.8600000001</v>
      </c>
      <c r="O430" s="204">
        <v>0</v>
      </c>
      <c r="P430" s="204">
        <f>1073676.65+69760.6</f>
        <v>1143437.25</v>
      </c>
      <c r="Q430" s="201">
        <v>0</v>
      </c>
      <c r="R430" s="197" t="s">
        <v>1419</v>
      </c>
      <c r="S430" s="188" t="s">
        <v>1481</v>
      </c>
      <c r="T430" s="188" t="s">
        <v>1480</v>
      </c>
      <c r="U430" s="188">
        <v>2019</v>
      </c>
      <c r="V430" s="110"/>
      <c r="W430" s="110"/>
      <c r="X430" s="110"/>
    </row>
    <row r="431" spans="1:24" ht="39" customHeight="1" x14ac:dyDescent="0.25">
      <c r="A431" s="23" t="s">
        <v>794</v>
      </c>
      <c r="B431" s="279" t="s">
        <v>739</v>
      </c>
      <c r="C431" s="30" t="s">
        <v>97</v>
      </c>
      <c r="D431" s="11" t="s">
        <v>832</v>
      </c>
      <c r="E431" s="11" t="s">
        <v>776</v>
      </c>
      <c r="F431" s="11" t="s">
        <v>1455</v>
      </c>
      <c r="G431" s="14" t="s">
        <v>125</v>
      </c>
      <c r="H431" s="22" t="s">
        <v>1592</v>
      </c>
      <c r="I431" s="11"/>
      <c r="J431" s="11"/>
      <c r="K431" s="201">
        <f t="shared" si="92"/>
        <v>2071448</v>
      </c>
      <c r="L431" s="204">
        <v>0</v>
      </c>
      <c r="M431" s="204">
        <v>0</v>
      </c>
      <c r="N431" s="204">
        <v>103572.4</v>
      </c>
      <c r="O431" s="204">
        <v>0</v>
      </c>
      <c r="P431" s="204">
        <v>1967875.6</v>
      </c>
      <c r="Q431" s="201">
        <v>0</v>
      </c>
      <c r="R431" s="188" t="s">
        <v>1351</v>
      </c>
      <c r="S431" s="188" t="s">
        <v>803</v>
      </c>
      <c r="T431" s="188" t="s">
        <v>1320</v>
      </c>
      <c r="U431" s="188">
        <v>2017</v>
      </c>
      <c r="V431" s="111"/>
      <c r="W431" s="111"/>
      <c r="X431" s="110"/>
    </row>
    <row r="432" spans="1:24" ht="83.25" customHeight="1" x14ac:dyDescent="0.25">
      <c r="A432" s="23" t="s">
        <v>795</v>
      </c>
      <c r="B432" s="279" t="s">
        <v>740</v>
      </c>
      <c r="C432" s="30" t="s">
        <v>11</v>
      </c>
      <c r="D432" s="11" t="s">
        <v>12</v>
      </c>
      <c r="E432" s="11" t="s">
        <v>776</v>
      </c>
      <c r="F432" s="10" t="s">
        <v>1441</v>
      </c>
      <c r="G432" s="14" t="s">
        <v>1235</v>
      </c>
      <c r="H432" s="22" t="s">
        <v>1586</v>
      </c>
      <c r="I432" s="11"/>
      <c r="J432" s="11"/>
      <c r="K432" s="201">
        <f t="shared" si="92"/>
        <v>5397222.0600000005</v>
      </c>
      <c r="L432" s="204">
        <f>868503.42+53845</f>
        <v>922348.42</v>
      </c>
      <c r="M432" s="204">
        <v>0</v>
      </c>
      <c r="N432" s="204">
        <f>868503.42+53845</f>
        <v>922348.42</v>
      </c>
      <c r="O432" s="204">
        <v>0</v>
      </c>
      <c r="P432" s="204">
        <f>3352525.22+200000</f>
        <v>3552525.22</v>
      </c>
      <c r="Q432" s="201">
        <v>0</v>
      </c>
      <c r="R432" s="188" t="s">
        <v>1419</v>
      </c>
      <c r="S432" s="188" t="s">
        <v>1317</v>
      </c>
      <c r="T432" s="188" t="s">
        <v>1319</v>
      </c>
      <c r="U432" s="188">
        <v>2020</v>
      </c>
      <c r="V432" s="110"/>
      <c r="W432" s="110"/>
      <c r="X432" s="110"/>
    </row>
    <row r="433" spans="1:24" ht="39" customHeight="1" x14ac:dyDescent="0.25">
      <c r="A433" s="23" t="s">
        <v>796</v>
      </c>
      <c r="B433" s="279" t="s">
        <v>741</v>
      </c>
      <c r="C433" s="30" t="s">
        <v>16</v>
      </c>
      <c r="D433" s="11" t="s">
        <v>812</v>
      </c>
      <c r="E433" s="11" t="s">
        <v>776</v>
      </c>
      <c r="F433" s="11" t="s">
        <v>1454</v>
      </c>
      <c r="G433" s="14" t="s">
        <v>1235</v>
      </c>
      <c r="H433" s="22" t="s">
        <v>1586</v>
      </c>
      <c r="I433" s="11"/>
      <c r="J433" s="11"/>
      <c r="K433" s="201">
        <f t="shared" si="92"/>
        <v>3473188.5</v>
      </c>
      <c r="L433" s="204">
        <f>31967.97</f>
        <v>31967.97</v>
      </c>
      <c r="M433" s="204">
        <v>0</v>
      </c>
      <c r="N433" s="204">
        <f>1087024.7</f>
        <v>1087024.7</v>
      </c>
      <c r="O433" s="204">
        <v>0</v>
      </c>
      <c r="P433" s="204">
        <f>2194356+159839.83</f>
        <v>2354195.83</v>
      </c>
      <c r="Q433" s="201">
        <v>0</v>
      </c>
      <c r="R433" s="188" t="s">
        <v>1419</v>
      </c>
      <c r="S433" s="188" t="s">
        <v>1481</v>
      </c>
      <c r="T433" s="188" t="s">
        <v>1480</v>
      </c>
      <c r="U433" s="188">
        <v>2018</v>
      </c>
      <c r="V433" s="110"/>
      <c r="W433" s="110"/>
      <c r="X433" s="110"/>
    </row>
    <row r="434" spans="1:24" ht="39" customHeight="1" x14ac:dyDescent="0.25">
      <c r="A434" s="23" t="s">
        <v>1309</v>
      </c>
      <c r="B434" s="279" t="s">
        <v>742</v>
      </c>
      <c r="C434" s="23" t="s">
        <v>1311</v>
      </c>
      <c r="D434" s="11" t="s">
        <v>1310</v>
      </c>
      <c r="E434" s="11" t="s">
        <v>776</v>
      </c>
      <c r="F434" s="11" t="s">
        <v>1436</v>
      </c>
      <c r="G434" s="14" t="s">
        <v>1235</v>
      </c>
      <c r="H434" s="22" t="s">
        <v>1586</v>
      </c>
      <c r="I434" s="11"/>
      <c r="J434" s="11"/>
      <c r="K434" s="201">
        <f t="shared" si="92"/>
        <v>3198042.1999999997</v>
      </c>
      <c r="L434" s="204">
        <v>0</v>
      </c>
      <c r="M434" s="204">
        <v>0</v>
      </c>
      <c r="N434" s="204">
        <f>902041.88+32312.35</f>
        <v>934354.23</v>
      </c>
      <c r="O434" s="204">
        <v>0</v>
      </c>
      <c r="P434" s="204">
        <f>2185417.32+78270.65</f>
        <v>2263687.9699999997</v>
      </c>
      <c r="Q434" s="201">
        <v>0</v>
      </c>
      <c r="R434" s="197" t="s">
        <v>1419</v>
      </c>
      <c r="S434" s="188" t="s">
        <v>1420</v>
      </c>
      <c r="T434" s="188" t="s">
        <v>1480</v>
      </c>
      <c r="U434" s="188">
        <v>2019</v>
      </c>
      <c r="V434" s="110"/>
      <c r="W434" s="110"/>
      <c r="X434" s="110"/>
    </row>
    <row r="435" spans="1:24" ht="39" customHeight="1" x14ac:dyDescent="0.25">
      <c r="A435" s="23" t="s">
        <v>82</v>
      </c>
      <c r="B435" s="279" t="s">
        <v>743</v>
      </c>
      <c r="C435" s="23" t="s">
        <v>83</v>
      </c>
      <c r="D435" s="10" t="s">
        <v>1212</v>
      </c>
      <c r="E435" s="10" t="s">
        <v>776</v>
      </c>
      <c r="F435" s="10" t="s">
        <v>1456</v>
      </c>
      <c r="G435" s="9" t="s">
        <v>1235</v>
      </c>
      <c r="H435" s="24" t="s">
        <v>1586</v>
      </c>
      <c r="I435" s="10"/>
      <c r="J435" s="10" t="s">
        <v>797</v>
      </c>
      <c r="K435" s="201">
        <f t="shared" si="92"/>
        <v>3848000</v>
      </c>
      <c r="L435" s="204">
        <v>0</v>
      </c>
      <c r="M435" s="204">
        <v>0</v>
      </c>
      <c r="N435" s="204">
        <v>1924000</v>
      </c>
      <c r="O435" s="204">
        <v>0</v>
      </c>
      <c r="P435" s="204">
        <v>1924000</v>
      </c>
      <c r="Q435" s="201">
        <v>0</v>
      </c>
      <c r="R435" s="197" t="s">
        <v>1347</v>
      </c>
      <c r="S435" s="188" t="s">
        <v>62</v>
      </c>
      <c r="T435" s="188" t="s">
        <v>44</v>
      </c>
      <c r="U435" s="188">
        <v>2021</v>
      </c>
      <c r="V435" s="111"/>
      <c r="W435" s="111"/>
      <c r="X435" s="111"/>
    </row>
    <row r="436" spans="1:24" ht="39" customHeight="1" x14ac:dyDescent="0.25">
      <c r="A436" s="23" t="s">
        <v>84</v>
      </c>
      <c r="B436" s="279" t="s">
        <v>744</v>
      </c>
      <c r="C436" s="23" t="s">
        <v>85</v>
      </c>
      <c r="D436" s="10" t="s">
        <v>1212</v>
      </c>
      <c r="E436" s="10" t="s">
        <v>776</v>
      </c>
      <c r="F436" s="10" t="s">
        <v>1456</v>
      </c>
      <c r="G436" s="9" t="s">
        <v>1235</v>
      </c>
      <c r="H436" s="24" t="s">
        <v>1586</v>
      </c>
      <c r="I436" s="10"/>
      <c r="J436" s="10" t="s">
        <v>797</v>
      </c>
      <c r="K436" s="201">
        <f t="shared" si="92"/>
        <v>1700000</v>
      </c>
      <c r="L436" s="204">
        <v>0</v>
      </c>
      <c r="M436" s="204">
        <v>0</v>
      </c>
      <c r="N436" s="204">
        <v>340000</v>
      </c>
      <c r="O436" s="204">
        <v>0</v>
      </c>
      <c r="P436" s="204">
        <v>1360000</v>
      </c>
      <c r="Q436" s="201">
        <v>0</v>
      </c>
      <c r="R436" s="197" t="s">
        <v>1347</v>
      </c>
      <c r="S436" s="188" t="s">
        <v>62</v>
      </c>
      <c r="T436" s="188" t="s">
        <v>44</v>
      </c>
      <c r="U436" s="188">
        <v>2021</v>
      </c>
      <c r="V436" s="111"/>
      <c r="W436" s="111"/>
      <c r="X436" s="111"/>
    </row>
    <row r="437" spans="1:24" ht="39" customHeight="1" x14ac:dyDescent="0.25">
      <c r="A437" s="23" t="s">
        <v>86</v>
      </c>
      <c r="B437" s="279" t="s">
        <v>745</v>
      </c>
      <c r="C437" s="23" t="s">
        <v>87</v>
      </c>
      <c r="D437" s="10" t="s">
        <v>1212</v>
      </c>
      <c r="E437" s="10" t="s">
        <v>776</v>
      </c>
      <c r="F437" s="10" t="s">
        <v>1456</v>
      </c>
      <c r="G437" s="9" t="s">
        <v>1235</v>
      </c>
      <c r="H437" s="24" t="s">
        <v>1586</v>
      </c>
      <c r="I437" s="10"/>
      <c r="J437" s="10" t="s">
        <v>797</v>
      </c>
      <c r="K437" s="201">
        <f t="shared" si="92"/>
        <v>1000000</v>
      </c>
      <c r="L437" s="204">
        <v>0</v>
      </c>
      <c r="M437" s="204">
        <v>0</v>
      </c>
      <c r="N437" s="204">
        <v>500000</v>
      </c>
      <c r="O437" s="204">
        <v>0</v>
      </c>
      <c r="P437" s="204">
        <v>500000</v>
      </c>
      <c r="Q437" s="201">
        <v>0</v>
      </c>
      <c r="R437" s="197" t="s">
        <v>1347</v>
      </c>
      <c r="S437" s="188" t="s">
        <v>62</v>
      </c>
      <c r="T437" s="188" t="s">
        <v>44</v>
      </c>
      <c r="U437" s="188">
        <v>2021</v>
      </c>
      <c r="V437" s="111"/>
      <c r="W437" s="111"/>
      <c r="X437" s="111"/>
    </row>
    <row r="438" spans="1:24" ht="39" customHeight="1" x14ac:dyDescent="0.25">
      <c r="A438" s="23" t="s">
        <v>98</v>
      </c>
      <c r="B438" s="279" t="s">
        <v>746</v>
      </c>
      <c r="C438" s="30" t="s">
        <v>99</v>
      </c>
      <c r="D438" s="11" t="s">
        <v>832</v>
      </c>
      <c r="E438" s="11" t="s">
        <v>776</v>
      </c>
      <c r="F438" s="11" t="s">
        <v>1455</v>
      </c>
      <c r="G438" s="14" t="s">
        <v>125</v>
      </c>
      <c r="H438" s="22" t="s">
        <v>1592</v>
      </c>
      <c r="I438" s="10"/>
      <c r="J438" s="10"/>
      <c r="K438" s="201">
        <f t="shared" si="92"/>
        <v>3804359.28</v>
      </c>
      <c r="L438" s="204">
        <v>0</v>
      </c>
      <c r="M438" s="204">
        <v>0</v>
      </c>
      <c r="N438" s="204">
        <v>190217.96</v>
      </c>
      <c r="O438" s="204">
        <v>0</v>
      </c>
      <c r="P438" s="204">
        <v>3614141.32</v>
      </c>
      <c r="Q438" s="201">
        <v>0</v>
      </c>
      <c r="R438" s="197" t="s">
        <v>1351</v>
      </c>
      <c r="S438" s="188" t="s">
        <v>1351</v>
      </c>
      <c r="T438" s="188" t="s">
        <v>803</v>
      </c>
      <c r="U438" s="188">
        <v>2016</v>
      </c>
      <c r="V438" s="111"/>
      <c r="W438" s="111"/>
      <c r="X438" s="110"/>
    </row>
    <row r="439" spans="1:24" ht="39" customHeight="1" x14ac:dyDescent="0.25">
      <c r="A439" s="428" t="s">
        <v>1815</v>
      </c>
      <c r="B439" s="429"/>
      <c r="C439" s="428" t="s">
        <v>1818</v>
      </c>
      <c r="D439" s="429"/>
      <c r="E439" s="429"/>
      <c r="F439" s="429"/>
      <c r="G439" s="429"/>
      <c r="H439" s="429"/>
      <c r="I439" s="429"/>
      <c r="J439" s="429"/>
      <c r="K439" s="446">
        <v>0</v>
      </c>
      <c r="L439" s="446">
        <v>0</v>
      </c>
      <c r="M439" s="446">
        <v>0</v>
      </c>
      <c r="N439" s="446">
        <v>0</v>
      </c>
      <c r="O439" s="446">
        <v>0</v>
      </c>
      <c r="P439" s="446">
        <v>0</v>
      </c>
      <c r="Q439" s="446">
        <v>0</v>
      </c>
      <c r="R439" s="431"/>
      <c r="S439" s="431"/>
      <c r="T439" s="431"/>
      <c r="U439" s="431"/>
      <c r="V439" s="110"/>
      <c r="W439" s="110"/>
      <c r="X439" s="110"/>
    </row>
    <row r="440" spans="1:24" ht="39" customHeight="1" x14ac:dyDescent="0.25">
      <c r="A440" s="391" t="s">
        <v>1663</v>
      </c>
      <c r="B440" s="414"/>
      <c r="C440" s="391" t="s">
        <v>1666</v>
      </c>
      <c r="D440" s="414"/>
      <c r="E440" s="414"/>
      <c r="F440" s="414"/>
      <c r="G440" s="414"/>
      <c r="H440" s="414"/>
      <c r="I440" s="414"/>
      <c r="J440" s="414"/>
      <c r="K440" s="416">
        <f t="shared" ref="K440:Q440" si="93">K441+K442+K449+K451+K452</f>
        <v>10649625</v>
      </c>
      <c r="L440" s="416">
        <f t="shared" si="93"/>
        <v>1758522</v>
      </c>
      <c r="M440" s="416">
        <f t="shared" si="93"/>
        <v>200000</v>
      </c>
      <c r="N440" s="416">
        <f t="shared" si="93"/>
        <v>0</v>
      </c>
      <c r="O440" s="416">
        <f t="shared" si="93"/>
        <v>527474</v>
      </c>
      <c r="P440" s="416">
        <f t="shared" si="93"/>
        <v>8163629</v>
      </c>
      <c r="Q440" s="416">
        <f t="shared" si="93"/>
        <v>0</v>
      </c>
      <c r="R440" s="417"/>
      <c r="S440" s="417"/>
      <c r="T440" s="417"/>
      <c r="U440" s="417"/>
      <c r="V440" s="110"/>
      <c r="W440" s="110"/>
      <c r="X440" s="110"/>
    </row>
    <row r="441" spans="1:24" ht="39" customHeight="1" x14ac:dyDescent="0.25">
      <c r="A441" s="428" t="s">
        <v>1819</v>
      </c>
      <c r="B441" s="429"/>
      <c r="C441" s="428" t="s">
        <v>1824</v>
      </c>
      <c r="D441" s="429"/>
      <c r="E441" s="429"/>
      <c r="F441" s="429"/>
      <c r="G441" s="429"/>
      <c r="H441" s="429"/>
      <c r="I441" s="429"/>
      <c r="J441" s="429"/>
      <c r="K441" s="433"/>
      <c r="L441" s="433"/>
      <c r="M441" s="433"/>
      <c r="N441" s="433"/>
      <c r="O441" s="433"/>
      <c r="P441" s="433"/>
      <c r="Q441" s="446">
        <v>0</v>
      </c>
      <c r="R441" s="431"/>
      <c r="S441" s="431"/>
      <c r="T441" s="431"/>
      <c r="U441" s="431"/>
      <c r="V441" s="110"/>
      <c r="W441" s="110"/>
      <c r="X441" s="110"/>
    </row>
    <row r="442" spans="1:24" ht="82.5" customHeight="1" x14ac:dyDescent="0.25">
      <c r="A442" s="428" t="s">
        <v>1820</v>
      </c>
      <c r="B442" s="429"/>
      <c r="C442" s="428" t="s">
        <v>1825</v>
      </c>
      <c r="D442" s="429"/>
      <c r="E442" s="429"/>
      <c r="F442" s="429"/>
      <c r="G442" s="429"/>
      <c r="H442" s="429"/>
      <c r="I442" s="429"/>
      <c r="J442" s="429"/>
      <c r="K442" s="433">
        <f t="shared" ref="K442:Q442" si="94">SUM(K443:K448)</f>
        <v>2374767</v>
      </c>
      <c r="L442" s="433">
        <f t="shared" si="94"/>
        <v>517293</v>
      </c>
      <c r="M442" s="433">
        <f t="shared" si="94"/>
        <v>200000</v>
      </c>
      <c r="N442" s="433">
        <f t="shared" si="94"/>
        <v>0</v>
      </c>
      <c r="O442" s="433">
        <f t="shared" si="94"/>
        <v>527474</v>
      </c>
      <c r="P442" s="433">
        <f t="shared" si="94"/>
        <v>1130000</v>
      </c>
      <c r="Q442" s="433">
        <f t="shared" si="94"/>
        <v>0</v>
      </c>
      <c r="R442" s="431"/>
      <c r="S442" s="431"/>
      <c r="T442" s="431"/>
      <c r="U442" s="431"/>
      <c r="V442" s="110"/>
      <c r="W442" s="110"/>
      <c r="X442" s="110"/>
    </row>
    <row r="443" spans="1:24" ht="39" customHeight="1" x14ac:dyDescent="0.25">
      <c r="A443" s="57" t="s">
        <v>834</v>
      </c>
      <c r="B443" s="279" t="s">
        <v>747</v>
      </c>
      <c r="C443" s="19" t="s">
        <v>835</v>
      </c>
      <c r="D443" s="12" t="s">
        <v>836</v>
      </c>
      <c r="E443" s="12" t="s">
        <v>837</v>
      </c>
      <c r="F443" s="12" t="s">
        <v>1455</v>
      </c>
      <c r="G443" s="12" t="s">
        <v>105</v>
      </c>
      <c r="H443" s="18"/>
      <c r="I443" s="12"/>
      <c r="J443" s="12"/>
      <c r="K443" s="223">
        <f t="shared" ref="K443:K448" si="95">L443+M443+N443+O443+P443</f>
        <v>696000</v>
      </c>
      <c r="L443" s="223">
        <v>116000</v>
      </c>
      <c r="M443" s="223">
        <v>0</v>
      </c>
      <c r="N443" s="223">
        <v>0</v>
      </c>
      <c r="O443" s="223">
        <v>0</v>
      </c>
      <c r="P443" s="223">
        <v>580000</v>
      </c>
      <c r="Q443" s="223">
        <v>0</v>
      </c>
      <c r="R443" s="220" t="s">
        <v>1345</v>
      </c>
      <c r="S443" s="214" t="s">
        <v>1330</v>
      </c>
      <c r="T443" s="214" t="s">
        <v>38</v>
      </c>
      <c r="U443" s="214">
        <v>2020</v>
      </c>
      <c r="V443" s="111"/>
      <c r="W443" s="111"/>
      <c r="X443" s="111"/>
    </row>
    <row r="444" spans="1:24" ht="39" customHeight="1" x14ac:dyDescent="0.25">
      <c r="A444" s="57" t="s">
        <v>934</v>
      </c>
      <c r="B444" s="279" t="s">
        <v>748</v>
      </c>
      <c r="C444" s="19" t="s">
        <v>1223</v>
      </c>
      <c r="D444" s="12" t="s">
        <v>836</v>
      </c>
      <c r="E444" s="12" t="s">
        <v>837</v>
      </c>
      <c r="F444" s="12" t="s">
        <v>1455</v>
      </c>
      <c r="G444" s="12" t="s">
        <v>105</v>
      </c>
      <c r="H444" s="18"/>
      <c r="I444" s="12"/>
      <c r="J444" s="12"/>
      <c r="K444" s="223">
        <f t="shared" si="95"/>
        <v>456000</v>
      </c>
      <c r="L444" s="223">
        <v>76000</v>
      </c>
      <c r="M444" s="223">
        <v>0</v>
      </c>
      <c r="N444" s="223">
        <v>0</v>
      </c>
      <c r="O444" s="223">
        <v>0</v>
      </c>
      <c r="P444" s="223">
        <v>380000</v>
      </c>
      <c r="Q444" s="223">
        <v>0</v>
      </c>
      <c r="R444" s="220" t="s">
        <v>1345</v>
      </c>
      <c r="S444" s="214" t="s">
        <v>1330</v>
      </c>
      <c r="T444" s="214" t="s">
        <v>38</v>
      </c>
      <c r="U444" s="214">
        <v>2020</v>
      </c>
      <c r="V444" s="110"/>
      <c r="W444" s="110"/>
      <c r="X444" s="110"/>
    </row>
    <row r="445" spans="1:24" ht="54.75" customHeight="1" x14ac:dyDescent="0.25">
      <c r="A445" s="57" t="s">
        <v>838</v>
      </c>
      <c r="B445" s="279" t="s">
        <v>1846</v>
      </c>
      <c r="C445" s="40" t="s">
        <v>841</v>
      </c>
      <c r="D445" s="12" t="s">
        <v>842</v>
      </c>
      <c r="E445" s="12" t="s">
        <v>776</v>
      </c>
      <c r="F445" s="12" t="s">
        <v>1455</v>
      </c>
      <c r="G445" s="12" t="s">
        <v>843</v>
      </c>
      <c r="H445" s="18"/>
      <c r="I445" s="12"/>
      <c r="J445" s="12"/>
      <c r="K445" s="223">
        <f t="shared" si="95"/>
        <v>380000</v>
      </c>
      <c r="L445" s="223">
        <v>10000</v>
      </c>
      <c r="M445" s="223">
        <v>200000</v>
      </c>
      <c r="N445" s="223">
        <v>0</v>
      </c>
      <c r="O445" s="223">
        <v>0</v>
      </c>
      <c r="P445" s="223">
        <v>170000</v>
      </c>
      <c r="Q445" s="223">
        <v>0</v>
      </c>
      <c r="R445" s="220" t="s">
        <v>1345</v>
      </c>
      <c r="S445" s="214" t="s">
        <v>1330</v>
      </c>
      <c r="T445" s="214" t="s">
        <v>38</v>
      </c>
      <c r="U445" s="214">
        <v>2020</v>
      </c>
      <c r="V445" s="110"/>
      <c r="W445" s="110"/>
      <c r="X445" s="110"/>
    </row>
    <row r="446" spans="1:24" ht="54.75" customHeight="1" x14ac:dyDescent="0.25">
      <c r="A446" s="57" t="s">
        <v>1228</v>
      </c>
      <c r="B446" s="279" t="s">
        <v>749</v>
      </c>
      <c r="C446" s="40" t="s">
        <v>1224</v>
      </c>
      <c r="D446" s="12" t="s">
        <v>1226</v>
      </c>
      <c r="E446" s="12" t="s">
        <v>776</v>
      </c>
      <c r="F446" s="12" t="s">
        <v>1455</v>
      </c>
      <c r="G446" s="12" t="s">
        <v>843</v>
      </c>
      <c r="H446" s="18"/>
      <c r="I446" s="12"/>
      <c r="J446" s="12"/>
      <c r="K446" s="223">
        <f t="shared" si="95"/>
        <v>209092</v>
      </c>
      <c r="L446" s="223">
        <v>42289</v>
      </c>
      <c r="M446" s="223">
        <v>0</v>
      </c>
      <c r="N446" s="223">
        <v>0</v>
      </c>
      <c r="O446" s="223">
        <v>166803</v>
      </c>
      <c r="P446" s="223">
        <v>0</v>
      </c>
      <c r="Q446" s="223">
        <v>0</v>
      </c>
      <c r="R446" s="220" t="s">
        <v>100</v>
      </c>
      <c r="S446" s="214" t="s">
        <v>100</v>
      </c>
      <c r="T446" s="214" t="s">
        <v>101</v>
      </c>
      <c r="U446" s="214">
        <v>2016</v>
      </c>
      <c r="V446" s="110"/>
      <c r="W446" s="110"/>
      <c r="X446" s="110"/>
    </row>
    <row r="447" spans="1:24" ht="54.75" customHeight="1" x14ac:dyDescent="0.25">
      <c r="A447" s="57" t="s">
        <v>935</v>
      </c>
      <c r="B447" s="279" t="s">
        <v>750</v>
      </c>
      <c r="C447" s="40" t="s">
        <v>1225</v>
      </c>
      <c r="D447" s="12" t="s">
        <v>1227</v>
      </c>
      <c r="E447" s="12" t="s">
        <v>776</v>
      </c>
      <c r="F447" s="12" t="s">
        <v>1455</v>
      </c>
      <c r="G447" s="12" t="s">
        <v>843</v>
      </c>
      <c r="H447" s="18"/>
      <c r="I447" s="12"/>
      <c r="J447" s="12"/>
      <c r="K447" s="223">
        <f t="shared" si="95"/>
        <v>283837</v>
      </c>
      <c r="L447" s="223">
        <v>123004</v>
      </c>
      <c r="M447" s="223">
        <v>0</v>
      </c>
      <c r="N447" s="223">
        <v>0</v>
      </c>
      <c r="O447" s="223">
        <v>160833</v>
      </c>
      <c r="P447" s="223">
        <v>0</v>
      </c>
      <c r="Q447" s="223">
        <v>0</v>
      </c>
      <c r="R447" s="220" t="s">
        <v>100</v>
      </c>
      <c r="S447" s="214" t="s">
        <v>100</v>
      </c>
      <c r="T447" s="214" t="s">
        <v>124</v>
      </c>
      <c r="U447" s="214">
        <v>2016</v>
      </c>
      <c r="V447" s="110"/>
      <c r="W447" s="110"/>
      <c r="X447" s="110"/>
    </row>
    <row r="448" spans="1:24" ht="39" customHeight="1" x14ac:dyDescent="0.25">
      <c r="A448" s="57" t="s">
        <v>1463</v>
      </c>
      <c r="B448" s="279" t="s">
        <v>751</v>
      </c>
      <c r="C448" s="30" t="s">
        <v>1229</v>
      </c>
      <c r="D448" s="11" t="s">
        <v>836</v>
      </c>
      <c r="E448" s="11" t="s">
        <v>776</v>
      </c>
      <c r="F448" s="11" t="s">
        <v>1455</v>
      </c>
      <c r="G448" s="12" t="s">
        <v>843</v>
      </c>
      <c r="H448" s="18"/>
      <c r="I448" s="11"/>
      <c r="J448" s="11"/>
      <c r="K448" s="223">
        <f t="shared" si="95"/>
        <v>349838</v>
      </c>
      <c r="L448" s="204">
        <v>150000</v>
      </c>
      <c r="M448" s="204">
        <v>0</v>
      </c>
      <c r="N448" s="204">
        <v>0</v>
      </c>
      <c r="O448" s="204">
        <v>199838</v>
      </c>
      <c r="P448" s="204">
        <v>0</v>
      </c>
      <c r="Q448" s="223">
        <v>0</v>
      </c>
      <c r="R448" s="188" t="s">
        <v>102</v>
      </c>
      <c r="S448" s="188" t="s">
        <v>102</v>
      </c>
      <c r="T448" s="188" t="s">
        <v>1319</v>
      </c>
      <c r="U448" s="188">
        <v>2017</v>
      </c>
      <c r="V448" s="110"/>
      <c r="W448" s="110"/>
      <c r="X448" s="110"/>
    </row>
    <row r="449" spans="1:24" ht="39" customHeight="1" x14ac:dyDescent="0.25">
      <c r="A449" s="428" t="s">
        <v>1821</v>
      </c>
      <c r="B449" s="429"/>
      <c r="C449" s="428" t="s">
        <v>1826</v>
      </c>
      <c r="D449" s="429"/>
      <c r="E449" s="429"/>
      <c r="F449" s="429"/>
      <c r="G449" s="429"/>
      <c r="H449" s="429"/>
      <c r="I449" s="429"/>
      <c r="J449" s="429"/>
      <c r="K449" s="433">
        <f t="shared" ref="K449:Q449" si="96">SUM(K450:K450)</f>
        <v>8274858</v>
      </c>
      <c r="L449" s="433">
        <f t="shared" si="96"/>
        <v>1241229</v>
      </c>
      <c r="M449" s="433">
        <f t="shared" si="96"/>
        <v>0</v>
      </c>
      <c r="N449" s="433">
        <f t="shared" si="96"/>
        <v>0</v>
      </c>
      <c r="O449" s="433">
        <f t="shared" si="96"/>
        <v>0</v>
      </c>
      <c r="P449" s="433">
        <f t="shared" si="96"/>
        <v>7033629</v>
      </c>
      <c r="Q449" s="433">
        <f t="shared" si="96"/>
        <v>0</v>
      </c>
      <c r="R449" s="431"/>
      <c r="S449" s="431"/>
      <c r="T449" s="431"/>
      <c r="U449" s="431"/>
      <c r="V449" s="110"/>
      <c r="W449" s="110"/>
      <c r="X449" s="110"/>
    </row>
    <row r="450" spans="1:24" ht="39" customHeight="1" x14ac:dyDescent="0.25">
      <c r="A450" s="49" t="s">
        <v>936</v>
      </c>
      <c r="B450" s="279" t="s">
        <v>752</v>
      </c>
      <c r="C450" s="30" t="s">
        <v>870</v>
      </c>
      <c r="D450" s="11" t="s">
        <v>850</v>
      </c>
      <c r="E450" s="11" t="s">
        <v>1591</v>
      </c>
      <c r="F450" s="11" t="s">
        <v>1400</v>
      </c>
      <c r="G450" s="14" t="s">
        <v>1422</v>
      </c>
      <c r="H450" s="11" t="s">
        <v>1592</v>
      </c>
      <c r="I450" s="11" t="s">
        <v>858</v>
      </c>
      <c r="J450" s="11"/>
      <c r="K450" s="190">
        <f>L450+M450+N450+O450+P450</f>
        <v>8274858</v>
      </c>
      <c r="L450" s="190">
        <v>1241229</v>
      </c>
      <c r="M450" s="190">
        <v>0</v>
      </c>
      <c r="N450" s="190">
        <v>0</v>
      </c>
      <c r="O450" s="190">
        <v>0</v>
      </c>
      <c r="P450" s="190">
        <v>7033629</v>
      </c>
      <c r="Q450" s="140"/>
      <c r="R450" s="188" t="s">
        <v>1321</v>
      </c>
      <c r="S450" s="188" t="s">
        <v>1322</v>
      </c>
      <c r="T450" s="188" t="s">
        <v>1406</v>
      </c>
      <c r="U450" s="188">
        <v>2018</v>
      </c>
      <c r="V450" s="110"/>
      <c r="W450" s="110"/>
      <c r="X450" s="110"/>
    </row>
    <row r="451" spans="1:24" ht="67.5" customHeight="1" x14ac:dyDescent="0.25">
      <c r="A451" s="428" t="s">
        <v>1822</v>
      </c>
      <c r="B451" s="429"/>
      <c r="C451" s="428" t="s">
        <v>1827</v>
      </c>
      <c r="D451" s="429"/>
      <c r="E451" s="429"/>
      <c r="F451" s="429"/>
      <c r="G451" s="429"/>
      <c r="H451" s="429"/>
      <c r="I451" s="429"/>
      <c r="J451" s="429"/>
      <c r="K451" s="446">
        <v>0</v>
      </c>
      <c r="L451" s="446">
        <v>0</v>
      </c>
      <c r="M451" s="446">
        <v>0</v>
      </c>
      <c r="N451" s="446">
        <v>0</v>
      </c>
      <c r="O451" s="446">
        <v>0</v>
      </c>
      <c r="P451" s="446">
        <v>0</v>
      </c>
      <c r="Q451" s="446">
        <v>0</v>
      </c>
      <c r="R451" s="431"/>
      <c r="S451" s="431"/>
      <c r="T451" s="431"/>
      <c r="U451" s="431"/>
      <c r="V451" s="110"/>
      <c r="W451" s="110"/>
      <c r="X451" s="110"/>
    </row>
    <row r="452" spans="1:24" ht="39" customHeight="1" x14ac:dyDescent="0.25">
      <c r="A452" s="428" t="s">
        <v>1823</v>
      </c>
      <c r="B452" s="429"/>
      <c r="C452" s="428" t="s">
        <v>1828</v>
      </c>
      <c r="D452" s="429"/>
      <c r="E452" s="429"/>
      <c r="F452" s="429"/>
      <c r="G452" s="429"/>
      <c r="H452" s="429"/>
      <c r="I452" s="429"/>
      <c r="J452" s="429"/>
      <c r="K452" s="446">
        <v>0</v>
      </c>
      <c r="L452" s="446">
        <v>0</v>
      </c>
      <c r="M452" s="446">
        <v>0</v>
      </c>
      <c r="N452" s="446">
        <v>0</v>
      </c>
      <c r="O452" s="446">
        <v>0</v>
      </c>
      <c r="P452" s="446">
        <v>0</v>
      </c>
      <c r="Q452" s="446">
        <v>0</v>
      </c>
      <c r="R452" s="431"/>
      <c r="S452" s="431"/>
      <c r="T452" s="431"/>
      <c r="U452" s="431"/>
      <c r="V452" s="110"/>
      <c r="W452" s="110"/>
      <c r="X452" s="110"/>
    </row>
    <row r="453" spans="1:24" ht="39" customHeight="1" x14ac:dyDescent="0.25">
      <c r="A453" s="391" t="s">
        <v>1664</v>
      </c>
      <c r="B453" s="414"/>
      <c r="C453" s="391" t="s">
        <v>1667</v>
      </c>
      <c r="D453" s="414"/>
      <c r="E453" s="414"/>
      <c r="F453" s="414"/>
      <c r="G453" s="414"/>
      <c r="H453" s="414"/>
      <c r="I453" s="414"/>
      <c r="J453" s="414"/>
      <c r="K453" s="416">
        <f t="shared" ref="K453:Q453" si="97">K454+K455+K462+K463+K464</f>
        <v>3148061.12</v>
      </c>
      <c r="L453" s="416">
        <f t="shared" si="97"/>
        <v>349908.85</v>
      </c>
      <c r="M453" s="416">
        <f t="shared" si="97"/>
        <v>0</v>
      </c>
      <c r="N453" s="416">
        <f t="shared" si="97"/>
        <v>0</v>
      </c>
      <c r="O453" s="416">
        <f t="shared" si="97"/>
        <v>0</v>
      </c>
      <c r="P453" s="416">
        <f t="shared" si="97"/>
        <v>2798152.27</v>
      </c>
      <c r="Q453" s="416">
        <f t="shared" si="97"/>
        <v>0</v>
      </c>
      <c r="R453" s="417"/>
      <c r="S453" s="417"/>
      <c r="T453" s="417"/>
      <c r="U453" s="417"/>
      <c r="V453" s="110"/>
      <c r="W453" s="110"/>
      <c r="X453" s="110"/>
    </row>
    <row r="454" spans="1:24" ht="62.25" customHeight="1" x14ac:dyDescent="0.25">
      <c r="A454" s="428" t="s">
        <v>1829</v>
      </c>
      <c r="B454" s="429"/>
      <c r="C454" s="428" t="s">
        <v>1837</v>
      </c>
      <c r="D454" s="429"/>
      <c r="E454" s="429"/>
      <c r="F454" s="429"/>
      <c r="G454" s="429"/>
      <c r="H454" s="429"/>
      <c r="I454" s="429"/>
      <c r="J454" s="429"/>
      <c r="K454" s="446">
        <v>0</v>
      </c>
      <c r="L454" s="446">
        <v>0</v>
      </c>
      <c r="M454" s="446">
        <v>0</v>
      </c>
      <c r="N454" s="446">
        <v>0</v>
      </c>
      <c r="O454" s="446">
        <v>0</v>
      </c>
      <c r="P454" s="446">
        <v>0</v>
      </c>
      <c r="Q454" s="446">
        <v>0</v>
      </c>
      <c r="R454" s="431"/>
      <c r="S454" s="431"/>
      <c r="T454" s="431"/>
      <c r="U454" s="431"/>
      <c r="V454" s="110"/>
      <c r="W454" s="110"/>
      <c r="X454" s="110"/>
    </row>
    <row r="455" spans="1:24" ht="39" customHeight="1" x14ac:dyDescent="0.25">
      <c r="A455" s="428" t="s">
        <v>1830</v>
      </c>
      <c r="B455" s="429"/>
      <c r="C455" s="428" t="s">
        <v>1838</v>
      </c>
      <c r="D455" s="429"/>
      <c r="E455" s="429"/>
      <c r="F455" s="429"/>
      <c r="G455" s="429"/>
      <c r="H455" s="429"/>
      <c r="I455" s="429"/>
      <c r="J455" s="429"/>
      <c r="K455" s="433">
        <f t="shared" ref="K455:Q455" si="98">SUM(K456:K461)</f>
        <v>1959080.3000000003</v>
      </c>
      <c r="L455" s="433">
        <f t="shared" si="98"/>
        <v>171561.72</v>
      </c>
      <c r="M455" s="433">
        <f t="shared" si="98"/>
        <v>0</v>
      </c>
      <c r="N455" s="433">
        <f t="shared" si="98"/>
        <v>0</v>
      </c>
      <c r="O455" s="433">
        <f t="shared" si="98"/>
        <v>0</v>
      </c>
      <c r="P455" s="433">
        <f t="shared" si="98"/>
        <v>1787518.5799999998</v>
      </c>
      <c r="Q455" s="433">
        <f t="shared" si="98"/>
        <v>0</v>
      </c>
      <c r="R455" s="431"/>
      <c r="S455" s="431"/>
      <c r="T455" s="431"/>
      <c r="U455" s="431"/>
      <c r="V455" s="110"/>
      <c r="W455" s="110"/>
      <c r="X455" s="110"/>
    </row>
    <row r="456" spans="1:24" ht="39" customHeight="1" x14ac:dyDescent="0.25">
      <c r="A456" s="30" t="s">
        <v>799</v>
      </c>
      <c r="B456" s="279" t="s">
        <v>753</v>
      </c>
      <c r="C456" s="36" t="s">
        <v>844</v>
      </c>
      <c r="D456" s="12" t="s">
        <v>1443</v>
      </c>
      <c r="E456" s="16" t="s">
        <v>845</v>
      </c>
      <c r="F456" s="16" t="s">
        <v>1455</v>
      </c>
      <c r="G456" s="92" t="s">
        <v>1386</v>
      </c>
      <c r="H456" s="20" t="s">
        <v>1586</v>
      </c>
      <c r="I456" s="16"/>
      <c r="J456" s="16"/>
      <c r="K456" s="223">
        <f t="shared" ref="K456:K461" si="99">L456+M456+N456+O456+P456</f>
        <v>222103.94</v>
      </c>
      <c r="L456" s="223">
        <v>35324.65</v>
      </c>
      <c r="M456" s="223">
        <v>0</v>
      </c>
      <c r="N456" s="222">
        <v>0</v>
      </c>
      <c r="O456" s="222">
        <v>0</v>
      </c>
      <c r="P456" s="223">
        <v>186779.29</v>
      </c>
      <c r="Q456" s="222">
        <v>0</v>
      </c>
      <c r="R456" s="213" t="s">
        <v>1342</v>
      </c>
      <c r="S456" s="213" t="s">
        <v>1343</v>
      </c>
      <c r="T456" s="213" t="s">
        <v>1321</v>
      </c>
      <c r="U456" s="225">
        <v>2018</v>
      </c>
      <c r="V456" s="110"/>
      <c r="W456" s="110"/>
      <c r="X456" s="110"/>
    </row>
    <row r="457" spans="1:24" ht="39" customHeight="1" x14ac:dyDescent="0.25">
      <c r="A457" s="30" t="s">
        <v>800</v>
      </c>
      <c r="B457" s="279" t="s">
        <v>754</v>
      </c>
      <c r="C457" s="251" t="s">
        <v>1476</v>
      </c>
      <c r="D457" s="12" t="s">
        <v>1443</v>
      </c>
      <c r="E457" s="16" t="s">
        <v>845</v>
      </c>
      <c r="F457" s="16" t="s">
        <v>1455</v>
      </c>
      <c r="G457" s="47" t="s">
        <v>1338</v>
      </c>
      <c r="H457" s="20" t="s">
        <v>1592</v>
      </c>
      <c r="I457" s="16"/>
      <c r="J457" s="16"/>
      <c r="K457" s="223">
        <f t="shared" si="99"/>
        <v>430002.16</v>
      </c>
      <c r="L457" s="223">
        <v>21500.11</v>
      </c>
      <c r="M457" s="223">
        <v>0</v>
      </c>
      <c r="N457" s="222">
        <v>0</v>
      </c>
      <c r="O457" s="222">
        <v>0</v>
      </c>
      <c r="P457" s="222">
        <v>408502.05</v>
      </c>
      <c r="Q457" s="222">
        <v>0</v>
      </c>
      <c r="R457" s="220" t="s">
        <v>1210</v>
      </c>
      <c r="S457" s="214" t="s">
        <v>803</v>
      </c>
      <c r="T457" s="225" t="s">
        <v>1320</v>
      </c>
      <c r="U457" s="225">
        <v>2018</v>
      </c>
      <c r="V457" s="111"/>
      <c r="W457" s="111"/>
      <c r="X457" s="110"/>
    </row>
    <row r="458" spans="1:24" ht="58.5" customHeight="1" x14ac:dyDescent="0.25">
      <c r="A458" s="30" t="s">
        <v>937</v>
      </c>
      <c r="B458" s="279" t="s">
        <v>755</v>
      </c>
      <c r="C458" s="36" t="s">
        <v>1464</v>
      </c>
      <c r="D458" s="12" t="s">
        <v>1580</v>
      </c>
      <c r="E458" s="16" t="s">
        <v>776</v>
      </c>
      <c r="F458" s="16" t="s">
        <v>1456</v>
      </c>
      <c r="G458" s="47" t="s">
        <v>1338</v>
      </c>
      <c r="H458" s="20" t="s">
        <v>1592</v>
      </c>
      <c r="I458" s="16"/>
      <c r="J458" s="16"/>
      <c r="K458" s="223">
        <f t="shared" si="99"/>
        <v>286775.93</v>
      </c>
      <c r="L458" s="223">
        <v>14338.8</v>
      </c>
      <c r="M458" s="223">
        <v>0</v>
      </c>
      <c r="N458" s="222">
        <v>0</v>
      </c>
      <c r="O458" s="222">
        <v>0</v>
      </c>
      <c r="P458" s="222">
        <v>272437.13</v>
      </c>
      <c r="Q458" s="222">
        <v>0</v>
      </c>
      <c r="R458" s="220" t="s">
        <v>1329</v>
      </c>
      <c r="S458" s="188" t="s">
        <v>1321</v>
      </c>
      <c r="T458" s="188" t="s">
        <v>1406</v>
      </c>
      <c r="U458" s="214">
        <v>2018</v>
      </c>
      <c r="V458" s="111"/>
      <c r="W458" s="111"/>
      <c r="X458" s="111"/>
    </row>
    <row r="459" spans="1:24" ht="39" customHeight="1" x14ac:dyDescent="0.25">
      <c r="A459" s="30" t="s">
        <v>938</v>
      </c>
      <c r="B459" s="279" t="s">
        <v>756</v>
      </c>
      <c r="C459" s="36" t="s">
        <v>1442</v>
      </c>
      <c r="D459" s="12" t="s">
        <v>1590</v>
      </c>
      <c r="E459" s="16" t="s">
        <v>776</v>
      </c>
      <c r="F459" s="16" t="s">
        <v>1446</v>
      </c>
      <c r="G459" s="47" t="s">
        <v>1338</v>
      </c>
      <c r="H459" s="20" t="s">
        <v>1592</v>
      </c>
      <c r="I459" s="16"/>
      <c r="J459" s="16"/>
      <c r="K459" s="223">
        <f t="shared" si="99"/>
        <v>526315.79</v>
      </c>
      <c r="L459" s="223">
        <v>26315.79</v>
      </c>
      <c r="M459" s="223">
        <v>0</v>
      </c>
      <c r="N459" s="222">
        <v>0</v>
      </c>
      <c r="O459" s="222">
        <v>0</v>
      </c>
      <c r="P459" s="222">
        <v>500000</v>
      </c>
      <c r="Q459" s="222">
        <v>0</v>
      </c>
      <c r="R459" s="220" t="s">
        <v>1329</v>
      </c>
      <c r="S459" s="214" t="s">
        <v>1328</v>
      </c>
      <c r="T459" s="214" t="s">
        <v>1319</v>
      </c>
      <c r="U459" s="214">
        <v>2018</v>
      </c>
      <c r="V459" s="111"/>
      <c r="W459" s="111"/>
      <c r="X459" s="110"/>
    </row>
    <row r="460" spans="1:24" ht="39" customHeight="1" x14ac:dyDescent="0.25">
      <c r="A460" s="30" t="s">
        <v>1440</v>
      </c>
      <c r="B460" s="279" t="s">
        <v>757</v>
      </c>
      <c r="C460" s="19" t="s">
        <v>1457</v>
      </c>
      <c r="D460" s="12" t="s">
        <v>1589</v>
      </c>
      <c r="E460" s="12" t="s">
        <v>776</v>
      </c>
      <c r="F460" s="12" t="s">
        <v>1441</v>
      </c>
      <c r="G460" s="12" t="s">
        <v>1386</v>
      </c>
      <c r="H460" s="18" t="s">
        <v>1586</v>
      </c>
      <c r="I460" s="12"/>
      <c r="J460" s="12"/>
      <c r="K460" s="223">
        <f t="shared" si="99"/>
        <v>308284.61</v>
      </c>
      <c r="L460" s="223">
        <v>46242.69</v>
      </c>
      <c r="M460" s="223">
        <v>0</v>
      </c>
      <c r="N460" s="223">
        <v>0</v>
      </c>
      <c r="O460" s="223">
        <v>0</v>
      </c>
      <c r="P460" s="223">
        <v>262041.92</v>
      </c>
      <c r="Q460" s="222">
        <v>0</v>
      </c>
      <c r="R460" s="220" t="s">
        <v>1329</v>
      </c>
      <c r="S460" s="214" t="s">
        <v>1318</v>
      </c>
      <c r="T460" s="214" t="s">
        <v>1322</v>
      </c>
      <c r="U460" s="214">
        <v>2018</v>
      </c>
      <c r="V460" s="110"/>
      <c r="W460" s="110"/>
      <c r="X460" s="110"/>
    </row>
    <row r="461" spans="1:24" ht="39" customHeight="1" x14ac:dyDescent="0.25">
      <c r="A461" s="30" t="s">
        <v>68</v>
      </c>
      <c r="B461" s="279" t="s">
        <v>758</v>
      </c>
      <c r="C461" s="19" t="s">
        <v>69</v>
      </c>
      <c r="D461" s="12" t="s">
        <v>1589</v>
      </c>
      <c r="E461" s="12" t="s">
        <v>776</v>
      </c>
      <c r="F461" s="12" t="s">
        <v>1441</v>
      </c>
      <c r="G461" s="12" t="s">
        <v>1386</v>
      </c>
      <c r="H461" s="18" t="s">
        <v>1586</v>
      </c>
      <c r="I461" s="12"/>
      <c r="J461" s="12"/>
      <c r="K461" s="223">
        <f t="shared" si="99"/>
        <v>185597.87</v>
      </c>
      <c r="L461" s="223">
        <v>27839.68</v>
      </c>
      <c r="M461" s="223">
        <v>0</v>
      </c>
      <c r="N461" s="223">
        <v>0</v>
      </c>
      <c r="O461" s="223">
        <v>0</v>
      </c>
      <c r="P461" s="223">
        <v>157758.19</v>
      </c>
      <c r="Q461" s="222">
        <v>0</v>
      </c>
      <c r="R461" s="220" t="s">
        <v>1346</v>
      </c>
      <c r="S461" s="214" t="s">
        <v>1327</v>
      </c>
      <c r="T461" s="214" t="s">
        <v>61</v>
      </c>
      <c r="U461" s="214">
        <v>2020</v>
      </c>
      <c r="V461" s="110"/>
      <c r="W461" s="110"/>
      <c r="X461" s="110"/>
    </row>
    <row r="462" spans="1:24" ht="39" customHeight="1" x14ac:dyDescent="0.25">
      <c r="A462" s="428" t="s">
        <v>1831</v>
      </c>
      <c r="B462" s="429"/>
      <c r="C462" s="428" t="s">
        <v>378</v>
      </c>
      <c r="D462" s="429"/>
      <c r="E462" s="429"/>
      <c r="F462" s="429"/>
      <c r="G462" s="429"/>
      <c r="H462" s="429"/>
      <c r="I462" s="429"/>
      <c r="J462" s="429"/>
      <c r="K462" s="433">
        <v>0</v>
      </c>
      <c r="L462" s="433">
        <v>0</v>
      </c>
      <c r="M462" s="433">
        <v>0</v>
      </c>
      <c r="N462" s="433">
        <v>0</v>
      </c>
      <c r="O462" s="433">
        <v>0</v>
      </c>
      <c r="P462" s="433">
        <v>0</v>
      </c>
      <c r="Q462" s="433">
        <v>0</v>
      </c>
      <c r="R462" s="431"/>
      <c r="S462" s="431"/>
      <c r="T462" s="431"/>
      <c r="U462" s="431"/>
      <c r="V462" s="110"/>
      <c r="W462" s="110"/>
      <c r="X462" s="110"/>
    </row>
    <row r="463" spans="1:24" ht="39" customHeight="1" x14ac:dyDescent="0.25">
      <c r="A463" s="428" t="s">
        <v>1832</v>
      </c>
      <c r="B463" s="429"/>
      <c r="C463" s="428" t="s">
        <v>379</v>
      </c>
      <c r="D463" s="429"/>
      <c r="E463" s="429"/>
      <c r="F463" s="429"/>
      <c r="G463" s="429"/>
      <c r="H463" s="429"/>
      <c r="I463" s="429"/>
      <c r="J463" s="429"/>
      <c r="K463" s="446">
        <v>0</v>
      </c>
      <c r="L463" s="446">
        <v>0</v>
      </c>
      <c r="M463" s="446">
        <v>0</v>
      </c>
      <c r="N463" s="446">
        <v>0</v>
      </c>
      <c r="O463" s="446">
        <v>0</v>
      </c>
      <c r="P463" s="446">
        <v>0</v>
      </c>
      <c r="Q463" s="446">
        <v>0</v>
      </c>
      <c r="R463" s="431"/>
      <c r="S463" s="431"/>
      <c r="T463" s="431"/>
      <c r="U463" s="431"/>
      <c r="V463" s="110"/>
      <c r="W463" s="110"/>
      <c r="X463" s="110"/>
    </row>
    <row r="464" spans="1:24" ht="39" customHeight="1" x14ac:dyDescent="0.25">
      <c r="A464" s="428" t="s">
        <v>1335</v>
      </c>
      <c r="B464" s="429"/>
      <c r="C464" s="428" t="s">
        <v>1336</v>
      </c>
      <c r="D464" s="429"/>
      <c r="E464" s="429"/>
      <c r="F464" s="429"/>
      <c r="G464" s="429"/>
      <c r="H464" s="429"/>
      <c r="I464" s="429"/>
      <c r="J464" s="429"/>
      <c r="K464" s="446">
        <f t="shared" ref="K464:Q464" si="100">SUM(K465:K469)</f>
        <v>1188980.8199999998</v>
      </c>
      <c r="L464" s="446">
        <f t="shared" si="100"/>
        <v>178347.12999999998</v>
      </c>
      <c r="M464" s="446">
        <f t="shared" si="100"/>
        <v>0</v>
      </c>
      <c r="N464" s="446">
        <f t="shared" si="100"/>
        <v>0</v>
      </c>
      <c r="O464" s="446">
        <f t="shared" si="100"/>
        <v>0</v>
      </c>
      <c r="P464" s="446">
        <f t="shared" si="100"/>
        <v>1010633.6900000001</v>
      </c>
      <c r="Q464" s="446">
        <f t="shared" si="100"/>
        <v>0</v>
      </c>
      <c r="R464" s="431"/>
      <c r="S464" s="431"/>
      <c r="T464" s="431"/>
      <c r="U464" s="431"/>
      <c r="V464" s="110"/>
      <c r="W464" s="110"/>
      <c r="X464" s="110"/>
    </row>
    <row r="465" spans="1:24" ht="39" customHeight="1" x14ac:dyDescent="0.25">
      <c r="A465" s="23" t="s">
        <v>1337</v>
      </c>
      <c r="B465" s="279" t="s">
        <v>759</v>
      </c>
      <c r="C465" s="23" t="s">
        <v>1380</v>
      </c>
      <c r="D465" s="14" t="s">
        <v>1590</v>
      </c>
      <c r="E465" s="14" t="s">
        <v>776</v>
      </c>
      <c r="F465" s="14" t="s">
        <v>1446</v>
      </c>
      <c r="G465" s="14" t="s">
        <v>1386</v>
      </c>
      <c r="H465" s="14" t="s">
        <v>1586</v>
      </c>
      <c r="I465" s="14"/>
      <c r="J465" s="14"/>
      <c r="K465" s="190">
        <f>L465+P465</f>
        <v>279869.71000000002</v>
      </c>
      <c r="L465" s="190">
        <v>41980.46</v>
      </c>
      <c r="M465" s="190">
        <v>0</v>
      </c>
      <c r="N465" s="190">
        <v>0</v>
      </c>
      <c r="O465" s="190">
        <v>0</v>
      </c>
      <c r="P465" s="190">
        <v>237889.25</v>
      </c>
      <c r="Q465" s="190">
        <v>0</v>
      </c>
      <c r="R465" s="192" t="s">
        <v>1329</v>
      </c>
      <c r="S465" s="187" t="s">
        <v>1343</v>
      </c>
      <c r="T465" s="187" t="s">
        <v>1322</v>
      </c>
      <c r="U465" s="187">
        <v>2019</v>
      </c>
      <c r="V465" s="492"/>
      <c r="W465" s="493"/>
      <c r="X465" s="493"/>
    </row>
    <row r="466" spans="1:24" ht="39" customHeight="1" x14ac:dyDescent="0.25">
      <c r="A466" s="23" t="s">
        <v>1423</v>
      </c>
      <c r="B466" s="279" t="s">
        <v>760</v>
      </c>
      <c r="C466" s="23" t="s">
        <v>1424</v>
      </c>
      <c r="D466" s="14" t="s">
        <v>850</v>
      </c>
      <c r="E466" s="14" t="s">
        <v>776</v>
      </c>
      <c r="F466" s="14" t="s">
        <v>1400</v>
      </c>
      <c r="G466" s="14" t="s">
        <v>1386</v>
      </c>
      <c r="H466" s="14" t="s">
        <v>1586</v>
      </c>
      <c r="I466" s="14"/>
      <c r="J466" s="14"/>
      <c r="K466" s="190">
        <f>L466+P466</f>
        <v>303280</v>
      </c>
      <c r="L466" s="190">
        <v>45492</v>
      </c>
      <c r="M466" s="190">
        <v>0</v>
      </c>
      <c r="N466" s="190">
        <v>0</v>
      </c>
      <c r="O466" s="190">
        <v>0</v>
      </c>
      <c r="P466" s="190">
        <v>257788</v>
      </c>
      <c r="Q466" s="190">
        <v>0</v>
      </c>
      <c r="R466" s="192" t="s">
        <v>1329</v>
      </c>
      <c r="S466" s="192" t="s">
        <v>1319</v>
      </c>
      <c r="T466" s="192" t="s">
        <v>1318</v>
      </c>
      <c r="U466" s="187">
        <v>2018</v>
      </c>
      <c r="V466" s="110"/>
      <c r="W466" s="110"/>
      <c r="X466" s="110"/>
    </row>
    <row r="467" spans="1:24" ht="39" customHeight="1" x14ac:dyDescent="0.25">
      <c r="A467" s="23" t="s">
        <v>1484</v>
      </c>
      <c r="B467" s="279" t="s">
        <v>761</v>
      </c>
      <c r="C467" s="23" t="s">
        <v>1483</v>
      </c>
      <c r="D467" s="11" t="s">
        <v>1584</v>
      </c>
      <c r="E467" s="11" t="s">
        <v>776</v>
      </c>
      <c r="F467" s="11" t="s">
        <v>1436</v>
      </c>
      <c r="G467" s="47" t="s">
        <v>1386</v>
      </c>
      <c r="H467" s="22" t="s">
        <v>1586</v>
      </c>
      <c r="I467" s="11"/>
      <c r="J467" s="11"/>
      <c r="K467" s="190">
        <f>L467+P467</f>
        <v>88678.399999999994</v>
      </c>
      <c r="L467" s="201">
        <v>13301.76</v>
      </c>
      <c r="M467" s="201">
        <v>0</v>
      </c>
      <c r="N467" s="201">
        <v>0</v>
      </c>
      <c r="O467" s="201">
        <v>0</v>
      </c>
      <c r="P467" s="201">
        <v>75376.639999999999</v>
      </c>
      <c r="Q467" s="190">
        <v>0</v>
      </c>
      <c r="R467" s="188" t="s">
        <v>1327</v>
      </c>
      <c r="S467" s="188" t="s">
        <v>1350</v>
      </c>
      <c r="T467" s="188" t="s">
        <v>44</v>
      </c>
      <c r="U467" s="188">
        <v>2023</v>
      </c>
      <c r="V467" s="110"/>
      <c r="W467" s="110"/>
      <c r="X467" s="110"/>
    </row>
    <row r="468" spans="1:24" ht="39" customHeight="1" x14ac:dyDescent="0.25">
      <c r="A468" s="23" t="s">
        <v>72</v>
      </c>
      <c r="B468" s="279" t="s">
        <v>762</v>
      </c>
      <c r="C468" s="30" t="s">
        <v>1434</v>
      </c>
      <c r="D468" s="47" t="s">
        <v>1587</v>
      </c>
      <c r="E468" s="47" t="s">
        <v>776</v>
      </c>
      <c r="F468" s="47" t="s">
        <v>1454</v>
      </c>
      <c r="G468" s="14" t="s">
        <v>1386</v>
      </c>
      <c r="H468" s="47" t="s">
        <v>1586</v>
      </c>
      <c r="I468" s="47"/>
      <c r="J468" s="47"/>
      <c r="K468" s="190">
        <f>L468+P468</f>
        <v>188577.55</v>
      </c>
      <c r="L468" s="199">
        <v>28286.639999999999</v>
      </c>
      <c r="M468" s="200">
        <v>0</v>
      </c>
      <c r="N468" s="200">
        <v>0</v>
      </c>
      <c r="O468" s="200">
        <v>0</v>
      </c>
      <c r="P468" s="199">
        <v>160290.91</v>
      </c>
      <c r="Q468" s="190">
        <v>0</v>
      </c>
      <c r="R468" s="188" t="s">
        <v>1342</v>
      </c>
      <c r="S468" s="188" t="s">
        <v>1322</v>
      </c>
      <c r="T468" s="188" t="s">
        <v>1344</v>
      </c>
      <c r="U468" s="188">
        <v>2018</v>
      </c>
      <c r="V468" s="110"/>
      <c r="W468" s="110"/>
      <c r="X468" s="110"/>
    </row>
    <row r="469" spans="1:24" ht="39" customHeight="1" x14ac:dyDescent="0.25">
      <c r="A469" s="23" t="s">
        <v>133</v>
      </c>
      <c r="B469" s="279" t="s">
        <v>763</v>
      </c>
      <c r="C469" s="30" t="s">
        <v>172</v>
      </c>
      <c r="D469" s="47" t="s">
        <v>850</v>
      </c>
      <c r="E469" s="47" t="s">
        <v>776</v>
      </c>
      <c r="F469" s="47" t="s">
        <v>1400</v>
      </c>
      <c r="G469" s="14" t="s">
        <v>1386</v>
      </c>
      <c r="H469" s="47" t="s">
        <v>1586</v>
      </c>
      <c r="I469" s="47"/>
      <c r="J469" s="47"/>
      <c r="K469" s="190">
        <f>L469+P469</f>
        <v>328575.16000000003</v>
      </c>
      <c r="L469" s="199">
        <v>49286.27</v>
      </c>
      <c r="M469" s="200">
        <v>0</v>
      </c>
      <c r="N469" s="200">
        <v>0</v>
      </c>
      <c r="O469" s="200">
        <v>0</v>
      </c>
      <c r="P469" s="199">
        <v>279288.89</v>
      </c>
      <c r="Q469" s="190">
        <v>0</v>
      </c>
      <c r="R469" s="188" t="s">
        <v>1324</v>
      </c>
      <c r="S469" s="188" t="s">
        <v>1326</v>
      </c>
      <c r="T469" s="188" t="s">
        <v>1346</v>
      </c>
      <c r="U469" s="188">
        <v>2019</v>
      </c>
      <c r="V469" s="110"/>
      <c r="W469" s="110"/>
      <c r="X469" s="110"/>
    </row>
    <row r="470" spans="1:24" ht="60.75" customHeight="1" x14ac:dyDescent="0.25">
      <c r="A470" s="413" t="s">
        <v>1668</v>
      </c>
      <c r="B470" s="410"/>
      <c r="C470" s="404" t="s">
        <v>388</v>
      </c>
      <c r="D470" s="410"/>
      <c r="E470" s="410"/>
      <c r="F470" s="410"/>
      <c r="G470" s="410"/>
      <c r="H470" s="410"/>
      <c r="I470" s="410"/>
      <c r="J470" s="410"/>
      <c r="K470" s="407">
        <f t="shared" ref="K470:Q470" si="101">K471+K479</f>
        <v>360666.54</v>
      </c>
      <c r="L470" s="407">
        <f t="shared" si="101"/>
        <v>62790.789999999994</v>
      </c>
      <c r="M470" s="407">
        <f t="shared" si="101"/>
        <v>0</v>
      </c>
      <c r="N470" s="407">
        <f t="shared" si="101"/>
        <v>0</v>
      </c>
      <c r="O470" s="407">
        <f t="shared" si="101"/>
        <v>0</v>
      </c>
      <c r="P470" s="407">
        <f t="shared" si="101"/>
        <v>297875.75</v>
      </c>
      <c r="Q470" s="407">
        <f t="shared" si="101"/>
        <v>0</v>
      </c>
      <c r="R470" s="409"/>
      <c r="S470" s="409"/>
      <c r="T470" s="409"/>
      <c r="U470" s="409"/>
      <c r="V470" s="110"/>
      <c r="W470" s="110"/>
      <c r="X470" s="110"/>
    </row>
    <row r="471" spans="1:24" ht="89.25" customHeight="1" x14ac:dyDescent="0.25">
      <c r="A471" s="391" t="s">
        <v>1669</v>
      </c>
      <c r="B471" s="392"/>
      <c r="C471" s="391" t="s">
        <v>1671</v>
      </c>
      <c r="D471" s="392"/>
      <c r="E471" s="392"/>
      <c r="F471" s="392"/>
      <c r="G471" s="392"/>
      <c r="H471" s="392"/>
      <c r="I471" s="392"/>
      <c r="J471" s="392"/>
      <c r="K471" s="416">
        <f t="shared" ref="K471:Q471" si="102">K472+K476+K477+K478</f>
        <v>360666.54</v>
      </c>
      <c r="L471" s="416">
        <f t="shared" si="102"/>
        <v>62790.789999999994</v>
      </c>
      <c r="M471" s="416">
        <f t="shared" si="102"/>
        <v>0</v>
      </c>
      <c r="N471" s="416">
        <f t="shared" si="102"/>
        <v>0</v>
      </c>
      <c r="O471" s="416">
        <f t="shared" si="102"/>
        <v>0</v>
      </c>
      <c r="P471" s="416">
        <f t="shared" si="102"/>
        <v>297875.75</v>
      </c>
      <c r="Q471" s="416">
        <f t="shared" si="102"/>
        <v>0</v>
      </c>
      <c r="R471" s="419"/>
      <c r="S471" s="419"/>
      <c r="T471" s="419"/>
      <c r="U471" s="419"/>
      <c r="V471" s="110"/>
      <c r="W471" s="110"/>
      <c r="X471" s="110"/>
    </row>
    <row r="472" spans="1:24" ht="39" customHeight="1" x14ac:dyDescent="0.25">
      <c r="A472" s="428" t="s">
        <v>1833</v>
      </c>
      <c r="B472" s="436"/>
      <c r="C472" s="428" t="s">
        <v>380</v>
      </c>
      <c r="D472" s="436"/>
      <c r="E472" s="436"/>
      <c r="F472" s="436"/>
      <c r="G472" s="436"/>
      <c r="H472" s="436"/>
      <c r="I472" s="436"/>
      <c r="J472" s="436"/>
      <c r="K472" s="433">
        <f t="shared" ref="K472:Q472" si="103">SUM(K473:K475)</f>
        <v>360666.54</v>
      </c>
      <c r="L472" s="433">
        <f t="shared" si="103"/>
        <v>62790.789999999994</v>
      </c>
      <c r="M472" s="433">
        <f t="shared" si="103"/>
        <v>0</v>
      </c>
      <c r="N472" s="433">
        <f t="shared" si="103"/>
        <v>0</v>
      </c>
      <c r="O472" s="433">
        <f t="shared" si="103"/>
        <v>0</v>
      </c>
      <c r="P472" s="433">
        <f t="shared" si="103"/>
        <v>297875.75</v>
      </c>
      <c r="Q472" s="433">
        <f t="shared" si="103"/>
        <v>0</v>
      </c>
      <c r="R472" s="435"/>
      <c r="S472" s="435"/>
      <c r="T472" s="435"/>
      <c r="U472" s="435"/>
      <c r="V472" s="110"/>
      <c r="W472" s="110"/>
      <c r="X472" s="110"/>
    </row>
    <row r="473" spans="1:24" ht="39" customHeight="1" x14ac:dyDescent="0.25">
      <c r="A473" s="23" t="s">
        <v>939</v>
      </c>
      <c r="B473" s="279" t="s">
        <v>764</v>
      </c>
      <c r="C473" s="23" t="s">
        <v>1432</v>
      </c>
      <c r="D473" s="11" t="s">
        <v>1145</v>
      </c>
      <c r="E473" s="11" t="s">
        <v>776</v>
      </c>
      <c r="F473" s="11" t="s">
        <v>1147</v>
      </c>
      <c r="G473" s="11" t="s">
        <v>1386</v>
      </c>
      <c r="H473" s="22" t="s">
        <v>1586</v>
      </c>
      <c r="I473" s="11"/>
      <c r="J473" s="11"/>
      <c r="K473" s="201">
        <f>L473+N473+M473+O473+P473</f>
        <v>92527.06</v>
      </c>
      <c r="L473" s="189">
        <v>22569.87</v>
      </c>
      <c r="M473" s="201">
        <v>0</v>
      </c>
      <c r="N473" s="201">
        <v>0</v>
      </c>
      <c r="O473" s="201">
        <v>0</v>
      </c>
      <c r="P473" s="201">
        <v>69957.19</v>
      </c>
      <c r="Q473" s="201">
        <v>0</v>
      </c>
      <c r="R473" s="188" t="s">
        <v>803</v>
      </c>
      <c r="S473" s="188" t="s">
        <v>1343</v>
      </c>
      <c r="T473" s="188" t="s">
        <v>1406</v>
      </c>
      <c r="U473" s="188">
        <v>2019</v>
      </c>
      <c r="V473" s="111"/>
      <c r="W473" s="111"/>
      <c r="X473" s="111"/>
    </row>
    <row r="474" spans="1:24" ht="39" customHeight="1" x14ac:dyDescent="0.25">
      <c r="A474" s="23" t="s">
        <v>1157</v>
      </c>
      <c r="B474" s="279" t="s">
        <v>765</v>
      </c>
      <c r="C474" s="23" t="s">
        <v>1479</v>
      </c>
      <c r="D474" s="11" t="s">
        <v>1584</v>
      </c>
      <c r="E474" s="11" t="s">
        <v>776</v>
      </c>
      <c r="F474" s="11" t="s">
        <v>1436</v>
      </c>
      <c r="G474" s="47" t="s">
        <v>1386</v>
      </c>
      <c r="H474" s="22" t="s">
        <v>1586</v>
      </c>
      <c r="I474" s="11"/>
      <c r="J474" s="11"/>
      <c r="K474" s="201">
        <f>L474+N474+M474+O474+P474</f>
        <v>66016</v>
      </c>
      <c r="L474" s="201">
        <v>9902.4</v>
      </c>
      <c r="M474" s="201">
        <v>0</v>
      </c>
      <c r="N474" s="201">
        <v>0</v>
      </c>
      <c r="O474" s="201">
        <v>0</v>
      </c>
      <c r="P474" s="201">
        <v>56113.599999999999</v>
      </c>
      <c r="Q474" s="201">
        <v>0</v>
      </c>
      <c r="R474" s="188" t="s">
        <v>1351</v>
      </c>
      <c r="S474" s="188" t="s">
        <v>1343</v>
      </c>
      <c r="T474" s="188" t="s">
        <v>1321</v>
      </c>
      <c r="U474" s="188">
        <v>2018</v>
      </c>
      <c r="V474" s="110"/>
      <c r="W474" s="110"/>
      <c r="X474" s="110"/>
    </row>
    <row r="475" spans="1:24" ht="39" customHeight="1" x14ac:dyDescent="0.25">
      <c r="A475" s="23" t="s">
        <v>1385</v>
      </c>
      <c r="B475" s="279" t="s">
        <v>766</v>
      </c>
      <c r="C475" s="23" t="s">
        <v>1439</v>
      </c>
      <c r="D475" s="11" t="s">
        <v>1580</v>
      </c>
      <c r="E475" s="11" t="s">
        <v>776</v>
      </c>
      <c r="F475" s="11" t="s">
        <v>1456</v>
      </c>
      <c r="G475" s="47" t="s">
        <v>1386</v>
      </c>
      <c r="H475" s="22" t="s">
        <v>1586</v>
      </c>
      <c r="I475" s="11"/>
      <c r="J475" s="11"/>
      <c r="K475" s="201">
        <f>L475+N475+M475+O475+P475</f>
        <v>202123.47999999998</v>
      </c>
      <c r="L475" s="189">
        <v>30318.52</v>
      </c>
      <c r="M475" s="201">
        <v>0</v>
      </c>
      <c r="N475" s="201">
        <v>0</v>
      </c>
      <c r="O475" s="201">
        <v>0</v>
      </c>
      <c r="P475" s="201">
        <v>171804.96</v>
      </c>
      <c r="Q475" s="201">
        <v>0</v>
      </c>
      <c r="R475" s="188" t="s">
        <v>1329</v>
      </c>
      <c r="S475" s="188" t="s">
        <v>1321</v>
      </c>
      <c r="T475" s="188" t="s">
        <v>1406</v>
      </c>
      <c r="U475" s="188">
        <v>2019</v>
      </c>
      <c r="V475" s="111"/>
      <c r="W475" s="111"/>
      <c r="X475" s="111"/>
    </row>
    <row r="476" spans="1:24" ht="55.5" customHeight="1" x14ac:dyDescent="0.25">
      <c r="A476" s="428" t="s">
        <v>1834</v>
      </c>
      <c r="B476" s="436"/>
      <c r="C476" s="428" t="s">
        <v>381</v>
      </c>
      <c r="D476" s="436"/>
      <c r="E476" s="436"/>
      <c r="F476" s="436"/>
      <c r="G476" s="436"/>
      <c r="H476" s="436"/>
      <c r="I476" s="436"/>
      <c r="J476" s="436"/>
      <c r="K476" s="446">
        <v>0</v>
      </c>
      <c r="L476" s="446">
        <v>0</v>
      </c>
      <c r="M476" s="446">
        <v>0</v>
      </c>
      <c r="N476" s="446">
        <v>0</v>
      </c>
      <c r="O476" s="446">
        <v>0</v>
      </c>
      <c r="P476" s="446">
        <v>0</v>
      </c>
      <c r="Q476" s="446">
        <v>0</v>
      </c>
      <c r="R476" s="435"/>
      <c r="S476" s="435"/>
      <c r="T476" s="435"/>
      <c r="U476" s="435"/>
      <c r="V476" s="110"/>
      <c r="W476" s="110"/>
      <c r="X476" s="110"/>
    </row>
    <row r="477" spans="1:24" ht="39" customHeight="1" x14ac:dyDescent="0.25">
      <c r="A477" s="428" t="s">
        <v>1835</v>
      </c>
      <c r="B477" s="436"/>
      <c r="C477" s="428" t="s">
        <v>382</v>
      </c>
      <c r="D477" s="436"/>
      <c r="E477" s="436"/>
      <c r="F477" s="436"/>
      <c r="G477" s="436"/>
      <c r="H477" s="436"/>
      <c r="I477" s="436"/>
      <c r="J477" s="436"/>
      <c r="K477" s="446">
        <v>0</v>
      </c>
      <c r="L477" s="446">
        <v>0</v>
      </c>
      <c r="M477" s="446">
        <v>0</v>
      </c>
      <c r="N477" s="446">
        <v>0</v>
      </c>
      <c r="O477" s="446">
        <v>0</v>
      </c>
      <c r="P477" s="446">
        <v>0</v>
      </c>
      <c r="Q477" s="446">
        <v>0</v>
      </c>
      <c r="R477" s="435"/>
      <c r="S477" s="435"/>
      <c r="T477" s="435"/>
      <c r="U477" s="435"/>
      <c r="V477" s="110"/>
      <c r="W477" s="110"/>
      <c r="X477" s="110"/>
    </row>
    <row r="478" spans="1:24" ht="39" customHeight="1" x14ac:dyDescent="0.25">
      <c r="A478" s="428" t="s">
        <v>1836</v>
      </c>
      <c r="B478" s="436"/>
      <c r="C478" s="428" t="s">
        <v>383</v>
      </c>
      <c r="D478" s="436"/>
      <c r="E478" s="436"/>
      <c r="F478" s="436"/>
      <c r="G478" s="436"/>
      <c r="H478" s="436"/>
      <c r="I478" s="436"/>
      <c r="J478" s="436"/>
      <c r="K478" s="433">
        <v>0</v>
      </c>
      <c r="L478" s="433">
        <v>0</v>
      </c>
      <c r="M478" s="433">
        <v>0</v>
      </c>
      <c r="N478" s="433">
        <v>0</v>
      </c>
      <c r="O478" s="433">
        <v>0</v>
      </c>
      <c r="P478" s="433">
        <v>0</v>
      </c>
      <c r="Q478" s="433">
        <v>0</v>
      </c>
      <c r="R478" s="435"/>
      <c r="S478" s="435"/>
      <c r="T478" s="435"/>
      <c r="U478" s="435"/>
      <c r="V478" s="110"/>
      <c r="W478" s="110"/>
      <c r="X478" s="110"/>
    </row>
    <row r="479" spans="1:24" ht="39" customHeight="1" x14ac:dyDescent="0.25">
      <c r="A479" s="391" t="s">
        <v>1670</v>
      </c>
      <c r="B479" s="392"/>
      <c r="C479" s="391" t="s">
        <v>1672</v>
      </c>
      <c r="D479" s="392"/>
      <c r="E479" s="392"/>
      <c r="F479" s="392"/>
      <c r="G479" s="392"/>
      <c r="H479" s="392"/>
      <c r="I479" s="392"/>
      <c r="J479" s="392"/>
      <c r="K479" s="416">
        <f t="shared" ref="K479:Q479" si="104">K480+K481</f>
        <v>0</v>
      </c>
      <c r="L479" s="416">
        <f t="shared" si="104"/>
        <v>0</v>
      </c>
      <c r="M479" s="416">
        <f t="shared" si="104"/>
        <v>0</v>
      </c>
      <c r="N479" s="416">
        <f t="shared" si="104"/>
        <v>0</v>
      </c>
      <c r="O479" s="416">
        <f t="shared" si="104"/>
        <v>0</v>
      </c>
      <c r="P479" s="416">
        <f t="shared" si="104"/>
        <v>0</v>
      </c>
      <c r="Q479" s="416">
        <f t="shared" si="104"/>
        <v>0</v>
      </c>
      <c r="R479" s="419"/>
      <c r="S479" s="419"/>
      <c r="T479" s="419"/>
      <c r="U479" s="419"/>
      <c r="V479" s="110"/>
      <c r="W479" s="110"/>
      <c r="X479" s="110"/>
    </row>
    <row r="480" spans="1:24" ht="60.75" customHeight="1" x14ac:dyDescent="0.25">
      <c r="A480" s="428" t="s">
        <v>384</v>
      </c>
      <c r="B480" s="436"/>
      <c r="C480" s="428" t="s">
        <v>386</v>
      </c>
      <c r="D480" s="436"/>
      <c r="E480" s="436"/>
      <c r="F480" s="436"/>
      <c r="G480" s="436"/>
      <c r="H480" s="436"/>
      <c r="I480" s="436"/>
      <c r="J480" s="436"/>
      <c r="K480" s="446">
        <v>0</v>
      </c>
      <c r="L480" s="446">
        <v>0</v>
      </c>
      <c r="M480" s="446">
        <v>0</v>
      </c>
      <c r="N480" s="446">
        <v>0</v>
      </c>
      <c r="O480" s="446">
        <v>0</v>
      </c>
      <c r="P480" s="446">
        <v>0</v>
      </c>
      <c r="Q480" s="446">
        <v>0</v>
      </c>
      <c r="R480" s="435"/>
      <c r="S480" s="435"/>
      <c r="T480" s="435"/>
      <c r="U480" s="435"/>
      <c r="V480" s="110"/>
      <c r="W480" s="110"/>
      <c r="X480" s="110"/>
    </row>
    <row r="481" spans="1:24" ht="39" customHeight="1" x14ac:dyDescent="0.25">
      <c r="A481" s="428" t="s">
        <v>385</v>
      </c>
      <c r="B481" s="436"/>
      <c r="C481" s="428" t="s">
        <v>387</v>
      </c>
      <c r="D481" s="436"/>
      <c r="E481" s="436"/>
      <c r="F481" s="436"/>
      <c r="G481" s="436"/>
      <c r="H481" s="436"/>
      <c r="I481" s="436"/>
      <c r="J481" s="436"/>
      <c r="K481" s="446">
        <v>0</v>
      </c>
      <c r="L481" s="446">
        <v>0</v>
      </c>
      <c r="M481" s="446">
        <v>0</v>
      </c>
      <c r="N481" s="446">
        <v>0</v>
      </c>
      <c r="O481" s="446">
        <v>0</v>
      </c>
      <c r="P481" s="446">
        <v>0</v>
      </c>
      <c r="Q481" s="446">
        <v>0</v>
      </c>
      <c r="R481" s="435"/>
      <c r="S481" s="435"/>
      <c r="T481" s="435"/>
      <c r="U481" s="435"/>
      <c r="V481" s="110"/>
      <c r="W481" s="110"/>
      <c r="X481" s="110"/>
    </row>
    <row r="482" spans="1:24" ht="39" customHeight="1" x14ac:dyDescent="0.25">
      <c r="A482" s="39"/>
      <c r="B482" s="39"/>
      <c r="C482" s="39"/>
      <c r="D482" s="90"/>
      <c r="E482" s="90"/>
      <c r="F482" s="90"/>
      <c r="G482" s="90"/>
      <c r="H482" s="90"/>
      <c r="I482" s="90"/>
      <c r="J482" s="90" t="s">
        <v>1473</v>
      </c>
      <c r="K482" s="401">
        <f t="shared" ref="K482:Q482" si="105">K7+K141+K392</f>
        <v>340444112.45599633</v>
      </c>
      <c r="L482" s="401">
        <f t="shared" si="105"/>
        <v>46569431.889999993</v>
      </c>
      <c r="M482" s="401">
        <f t="shared" si="105"/>
        <v>28282580.18</v>
      </c>
      <c r="N482" s="401">
        <f t="shared" si="105"/>
        <v>27335400.600000001</v>
      </c>
      <c r="O482" s="401">
        <f t="shared" si="105"/>
        <v>2089411.42</v>
      </c>
      <c r="P482" s="401">
        <f t="shared" si="105"/>
        <v>236167288.36599627</v>
      </c>
      <c r="Q482" s="401">
        <f t="shared" si="105"/>
        <v>0</v>
      </c>
      <c r="R482" s="195"/>
      <c r="S482" s="195"/>
      <c r="T482" s="195"/>
      <c r="U482" s="195"/>
      <c r="V482" s="110"/>
      <c r="W482" s="110"/>
      <c r="X482" s="110"/>
    </row>
    <row r="483" spans="1:24" ht="16.5" customHeight="1" x14ac:dyDescent="0.25">
      <c r="A483" s="78"/>
      <c r="B483" s="78"/>
      <c r="C483" s="60"/>
      <c r="D483" s="94"/>
      <c r="E483" s="88"/>
      <c r="F483" s="88"/>
      <c r="G483" s="88"/>
      <c r="H483" s="88"/>
      <c r="I483" s="88"/>
      <c r="J483" s="88"/>
      <c r="K483" s="62"/>
      <c r="L483" s="62"/>
      <c r="M483" s="62"/>
      <c r="N483" s="62"/>
      <c r="O483" s="288"/>
      <c r="P483" s="289"/>
      <c r="Q483" s="289"/>
      <c r="R483" s="288"/>
      <c r="S483" s="288"/>
      <c r="T483" s="62"/>
      <c r="U483" s="62"/>
      <c r="V483" s="110"/>
      <c r="W483" s="110"/>
      <c r="X483" s="110"/>
    </row>
    <row r="484" spans="1:24" ht="16.5" customHeight="1" x14ac:dyDescent="0.25">
      <c r="A484" s="112" t="s">
        <v>1085</v>
      </c>
      <c r="B484"/>
      <c r="C484"/>
      <c r="D484"/>
      <c r="E484"/>
      <c r="F484"/>
      <c r="G484"/>
      <c r="H484"/>
      <c r="I484"/>
      <c r="J484"/>
      <c r="K484"/>
      <c r="L484"/>
      <c r="M484"/>
      <c r="N484"/>
      <c r="O484"/>
      <c r="P484"/>
      <c r="Q484"/>
      <c r="R484"/>
      <c r="S484"/>
      <c r="T484"/>
      <c r="U484"/>
      <c r="V484"/>
      <c r="W484" s="110"/>
      <c r="X484" s="110"/>
    </row>
    <row r="485" spans="1:24" ht="16.5" customHeight="1" x14ac:dyDescent="0.25">
      <c r="A485" s="112" t="s">
        <v>1086</v>
      </c>
      <c r="B485"/>
      <c r="C485"/>
      <c r="D485"/>
      <c r="E485"/>
      <c r="F485"/>
      <c r="G485"/>
      <c r="H485"/>
      <c r="I485"/>
      <c r="J485"/>
      <c r="K485"/>
      <c r="L485"/>
      <c r="M485"/>
      <c r="N485"/>
      <c r="O485"/>
      <c r="P485"/>
      <c r="Q485"/>
      <c r="R485"/>
      <c r="S485"/>
      <c r="T485"/>
      <c r="U485"/>
      <c r="V485"/>
      <c r="W485" s="110"/>
      <c r="X485" s="110"/>
    </row>
    <row r="486" spans="1:24" ht="16.5" customHeight="1" x14ac:dyDescent="0.25">
      <c r="A486" s="112" t="s">
        <v>1551</v>
      </c>
      <c r="B486"/>
      <c r="C486"/>
      <c r="D486"/>
      <c r="E486"/>
      <c r="F486"/>
      <c r="G486"/>
      <c r="H486"/>
      <c r="I486"/>
      <c r="J486"/>
      <c r="K486"/>
      <c r="L486"/>
      <c r="M486"/>
      <c r="N486"/>
      <c r="O486"/>
      <c r="P486"/>
      <c r="Q486"/>
      <c r="R486"/>
      <c r="S486"/>
      <c r="T486"/>
      <c r="U486"/>
      <c r="V486"/>
      <c r="W486" s="110"/>
      <c r="X486" s="110"/>
    </row>
    <row r="487" spans="1:24" ht="16.5" customHeight="1" x14ac:dyDescent="0.25">
      <c r="A487" s="495" t="s">
        <v>1087</v>
      </c>
      <c r="B487" s="495"/>
      <c r="C487" s="495"/>
      <c r="D487" s="495"/>
      <c r="E487" s="495"/>
      <c r="F487" s="495"/>
      <c r="G487" s="495"/>
      <c r="H487" s="495"/>
      <c r="I487" s="495"/>
      <c r="J487" s="495"/>
      <c r="K487" s="495"/>
      <c r="L487" s="495"/>
      <c r="M487" s="495"/>
      <c r="N487" s="495"/>
      <c r="O487" s="495"/>
      <c r="P487" s="495"/>
      <c r="Q487" s="495"/>
      <c r="R487" s="495"/>
      <c r="S487" s="495"/>
      <c r="T487" s="495"/>
      <c r="U487" s="495"/>
      <c r="V487" s="495"/>
      <c r="W487" s="110"/>
      <c r="X487" s="110"/>
    </row>
    <row r="488" spans="1:24" ht="16.5" customHeight="1" x14ac:dyDescent="0.25">
      <c r="A488" s="77"/>
      <c r="B488" s="77"/>
      <c r="C488" s="75"/>
      <c r="D488" s="88"/>
      <c r="E488" s="88"/>
      <c r="F488" s="88"/>
      <c r="G488" s="88"/>
      <c r="H488" s="88"/>
      <c r="I488" s="88"/>
      <c r="J488" s="88"/>
      <c r="K488" s="3"/>
      <c r="L488" s="3"/>
      <c r="M488" s="3"/>
      <c r="N488" s="3"/>
      <c r="O488" s="3"/>
      <c r="P488" s="3"/>
      <c r="Q488" s="3"/>
      <c r="R488" s="3"/>
      <c r="S488" s="3"/>
      <c r="T488" s="3"/>
      <c r="U488" s="3"/>
      <c r="V488" s="110"/>
      <c r="W488" s="110"/>
      <c r="X488" s="110"/>
    </row>
    <row r="489" spans="1:24" ht="16.5" customHeight="1" x14ac:dyDescent="0.25">
      <c r="A489" s="77"/>
      <c r="B489" s="77"/>
      <c r="C489" s="75"/>
      <c r="D489" s="88"/>
      <c r="E489" s="88"/>
      <c r="F489" s="88"/>
      <c r="G489" s="88"/>
      <c r="H489" s="88"/>
      <c r="I489" s="88"/>
      <c r="J489" s="88"/>
      <c r="K489" s="3"/>
      <c r="L489" s="3"/>
      <c r="M489" s="3"/>
      <c r="N489" s="3"/>
      <c r="O489" s="3"/>
      <c r="P489" s="3"/>
      <c r="Q489" s="3"/>
      <c r="R489" s="3"/>
      <c r="S489" s="3"/>
      <c r="T489" s="3"/>
      <c r="U489" s="3"/>
      <c r="V489" s="110"/>
      <c r="W489" s="110"/>
      <c r="X489" s="110"/>
    </row>
    <row r="490" spans="1:24" ht="16.5" customHeight="1" x14ac:dyDescent="0.25">
      <c r="A490" s="77"/>
      <c r="B490" s="77"/>
      <c r="C490" s="75"/>
      <c r="D490" s="88"/>
      <c r="E490" s="88"/>
      <c r="F490" s="88"/>
      <c r="G490" s="88"/>
      <c r="H490" s="88"/>
      <c r="I490" s="88"/>
      <c r="J490" s="88"/>
      <c r="K490" s="3"/>
      <c r="L490" s="3"/>
      <c r="M490" s="3"/>
      <c r="N490" s="3"/>
      <c r="O490" s="3"/>
      <c r="P490" s="3"/>
      <c r="Q490" s="3"/>
      <c r="R490" s="3"/>
      <c r="S490" s="3"/>
      <c r="T490" s="3"/>
      <c r="U490" s="3"/>
      <c r="V490" s="110"/>
      <c r="W490" s="110"/>
      <c r="X490" s="110"/>
    </row>
    <row r="491" spans="1:24" ht="16.5" customHeight="1" x14ac:dyDescent="0.25">
      <c r="A491" s="77"/>
      <c r="B491" s="77"/>
      <c r="C491" s="75"/>
      <c r="D491" s="88"/>
      <c r="E491" s="88"/>
      <c r="F491" s="88"/>
      <c r="G491" s="88"/>
      <c r="H491" s="88"/>
      <c r="I491" s="88"/>
      <c r="J491" s="88"/>
      <c r="K491" s="3"/>
      <c r="L491" s="3"/>
      <c r="M491" s="3"/>
      <c r="N491" s="3"/>
      <c r="O491" s="3"/>
      <c r="P491" s="3"/>
      <c r="Q491" s="3"/>
      <c r="R491" s="3"/>
      <c r="S491" s="3"/>
      <c r="T491" s="3"/>
      <c r="U491" s="3"/>
      <c r="V491" s="110"/>
      <c r="W491" s="110"/>
      <c r="X491" s="110"/>
    </row>
    <row r="492" spans="1:24" ht="16.5" customHeight="1" x14ac:dyDescent="0.25">
      <c r="A492" s="77"/>
      <c r="B492" s="77"/>
      <c r="C492" s="75"/>
      <c r="D492" s="88"/>
      <c r="E492" s="88"/>
      <c r="F492" s="88"/>
      <c r="G492" s="88"/>
      <c r="H492" s="88"/>
      <c r="I492" s="88"/>
      <c r="J492" s="88"/>
      <c r="K492" s="3"/>
      <c r="L492" s="3"/>
      <c r="M492" s="3"/>
      <c r="N492" s="3"/>
      <c r="O492" s="3"/>
      <c r="P492" s="3"/>
      <c r="Q492" s="3"/>
      <c r="R492" s="3"/>
      <c r="S492" s="3"/>
      <c r="T492" s="3"/>
      <c r="U492" s="3"/>
      <c r="V492" s="110"/>
      <c r="W492" s="110"/>
      <c r="X492" s="110"/>
    </row>
    <row r="493" spans="1:24" ht="16.5" customHeight="1" x14ac:dyDescent="0.25">
      <c r="A493" s="77"/>
      <c r="B493" s="77"/>
      <c r="C493" s="75"/>
      <c r="D493" s="88"/>
      <c r="E493" s="88"/>
      <c r="F493" s="88"/>
      <c r="G493" s="88"/>
      <c r="H493" s="88"/>
      <c r="I493" s="88"/>
      <c r="J493" s="88"/>
      <c r="K493" s="3"/>
      <c r="L493" s="3"/>
      <c r="M493" s="3"/>
      <c r="N493" s="3"/>
      <c r="O493" s="3"/>
      <c r="P493" s="3"/>
      <c r="Q493" s="3"/>
      <c r="R493" s="3"/>
      <c r="S493" s="3"/>
      <c r="T493" s="3"/>
      <c r="U493" s="3"/>
    </row>
    <row r="494" spans="1:24" ht="16.5" customHeight="1" x14ac:dyDescent="0.25">
      <c r="A494" s="77"/>
      <c r="B494" s="77"/>
      <c r="C494" s="75"/>
      <c r="D494" s="88"/>
      <c r="E494" s="88"/>
      <c r="F494" s="88"/>
      <c r="G494" s="88"/>
      <c r="H494" s="88"/>
      <c r="I494" s="88"/>
      <c r="J494" s="88"/>
      <c r="K494" s="3"/>
      <c r="L494" s="3"/>
      <c r="M494" s="3"/>
      <c r="N494" s="3"/>
      <c r="O494" s="3"/>
      <c r="P494" s="3"/>
      <c r="Q494" s="3"/>
      <c r="R494" s="3"/>
      <c r="S494" s="3"/>
      <c r="T494" s="3"/>
      <c r="U494" s="3"/>
    </row>
  </sheetData>
  <autoFilter ref="A6:U482"/>
  <mergeCells count="11">
    <mergeCell ref="P1:S1"/>
    <mergeCell ref="P2:S2"/>
    <mergeCell ref="P3:S3"/>
    <mergeCell ref="A5:J5"/>
    <mergeCell ref="K5:Q5"/>
    <mergeCell ref="R5:U5"/>
    <mergeCell ref="V7:X7"/>
    <mergeCell ref="V8:X8"/>
    <mergeCell ref="V327:X330"/>
    <mergeCell ref="A487:V487"/>
    <mergeCell ref="V465:X465"/>
  </mergeCells>
  <phoneticPr fontId="4" type="noConversion"/>
  <pageMargins left="0.70866141732283472" right="0.70866141732283472" top="0.74803149606299213" bottom="0.74803149606299213" header="0.31496062992125984" footer="0.31496062992125984"/>
  <pageSetup paperSize="9" scale="48" firstPageNumber="26" fitToHeight="0" orientation="landscape" useFirstPageNumber="1" r:id="rId1"/>
  <headerFooter>
    <oddHeader>&amp;L&amp;G&amp;RKauno regiono plėtros planas iki 2020 metų</oddHeader>
    <oddFooter>&amp;R&amp;P</oddFooter>
  </headerFooter>
  <ignoredErrors>
    <ignoredError sqref="L455:O455 M395:O395 L292:O292 L229:O229 M171:P171 L135:O135 L112:O112 L24:O24"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5"/>
  <sheetViews>
    <sheetView zoomScale="85" zoomScaleNormal="85" workbookViewId="0">
      <pane xSplit="1" ySplit="6" topLeftCell="B479" activePane="bottomRight" state="frozen"/>
      <selection pane="topRight" activeCell="B1" sqref="B1"/>
      <selection pane="bottomLeft" activeCell="A6" sqref="A6"/>
      <selection pane="bottomRight" activeCell="D418" sqref="D418"/>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2" t="s">
        <v>439</v>
      </c>
      <c r="T1" s="502"/>
      <c r="U1" s="502"/>
      <c r="V1" s="502"/>
    </row>
    <row r="2" spans="1:22" ht="15.75" x14ac:dyDescent="0.25">
      <c r="S2" s="503" t="s">
        <v>440</v>
      </c>
      <c r="T2" s="503"/>
      <c r="U2" s="503"/>
      <c r="V2" s="503"/>
    </row>
    <row r="3" spans="1:22" ht="15.75" x14ac:dyDescent="0.25">
      <c r="S3" s="503" t="s">
        <v>441</v>
      </c>
      <c r="T3" s="503"/>
      <c r="U3" s="503"/>
      <c r="V3" s="503"/>
    </row>
    <row r="4" spans="1:22" ht="15.75" x14ac:dyDescent="0.25">
      <c r="A4" s="154" t="s">
        <v>1088</v>
      </c>
      <c r="B4" s="154"/>
    </row>
    <row r="5" spans="1:22" ht="20.25" customHeight="1" x14ac:dyDescent="0.25">
      <c r="A5" s="84"/>
      <c r="B5" s="84"/>
    </row>
    <row r="6" spans="1:22" ht="20.25" customHeight="1" x14ac:dyDescent="0.25">
      <c r="A6" s="505" t="s">
        <v>1534</v>
      </c>
      <c r="B6" s="505"/>
      <c r="C6" s="505"/>
      <c r="D6" s="505"/>
      <c r="E6" s="505"/>
      <c r="F6" s="505"/>
      <c r="G6" s="505"/>
      <c r="H6" s="505"/>
      <c r="I6" s="505"/>
      <c r="J6" s="505"/>
      <c r="K6" s="505" t="s">
        <v>1089</v>
      </c>
      <c r="L6" s="505"/>
      <c r="M6" s="505"/>
      <c r="N6" s="505"/>
      <c r="O6" s="505"/>
      <c r="P6" s="505"/>
      <c r="Q6" s="505"/>
      <c r="R6" s="505"/>
      <c r="S6" s="505"/>
      <c r="T6" s="505"/>
      <c r="U6" s="505"/>
      <c r="V6" s="505"/>
    </row>
    <row r="7" spans="1:22" ht="20.25" customHeight="1" x14ac:dyDescent="0.25">
      <c r="A7" s="498" t="s">
        <v>1525</v>
      </c>
      <c r="B7" s="498" t="s">
        <v>1090</v>
      </c>
      <c r="C7" s="498" t="s">
        <v>1536</v>
      </c>
      <c r="D7" s="498" t="s">
        <v>1091</v>
      </c>
      <c r="E7" s="498" t="s">
        <v>1537</v>
      </c>
      <c r="F7" s="498" t="s">
        <v>1538</v>
      </c>
      <c r="G7" s="504" t="s">
        <v>1539</v>
      </c>
      <c r="H7" s="498" t="s">
        <v>1092</v>
      </c>
      <c r="I7" s="498" t="s">
        <v>1093</v>
      </c>
      <c r="J7" s="498" t="s">
        <v>797</v>
      </c>
      <c r="K7" s="498" t="s">
        <v>1017</v>
      </c>
      <c r="L7" s="498" t="s">
        <v>1094</v>
      </c>
      <c r="M7" s="498" t="s">
        <v>1018</v>
      </c>
      <c r="N7" s="498" t="s">
        <v>1014</v>
      </c>
      <c r="O7" s="498" t="s">
        <v>1095</v>
      </c>
      <c r="P7" s="498" t="s">
        <v>1019</v>
      </c>
      <c r="Q7" s="498" t="s">
        <v>1015</v>
      </c>
      <c r="R7" s="498" t="s">
        <v>1095</v>
      </c>
      <c r="S7" s="498" t="s">
        <v>1020</v>
      </c>
      <c r="T7" s="498" t="s">
        <v>1016</v>
      </c>
      <c r="U7" s="498" t="s">
        <v>1095</v>
      </c>
      <c r="V7" s="498" t="s">
        <v>1021</v>
      </c>
    </row>
    <row r="8" spans="1:22" ht="75.75" customHeight="1" x14ac:dyDescent="0.25">
      <c r="A8" s="498"/>
      <c r="B8" s="498"/>
      <c r="C8" s="498"/>
      <c r="D8" s="498"/>
      <c r="E8" s="498"/>
      <c r="F8" s="498"/>
      <c r="G8" s="504"/>
      <c r="H8" s="498"/>
      <c r="I8" s="498"/>
      <c r="J8" s="498"/>
      <c r="K8" s="498"/>
      <c r="L8" s="498"/>
      <c r="M8" s="498"/>
      <c r="N8" s="498"/>
      <c r="O8" s="498"/>
      <c r="P8" s="498"/>
      <c r="Q8" s="498"/>
      <c r="R8" s="498"/>
      <c r="S8" s="498"/>
      <c r="T8" s="498"/>
      <c r="U8" s="498"/>
      <c r="V8" s="498"/>
    </row>
    <row r="9" spans="1:22" ht="15" customHeight="1" x14ac:dyDescent="0.25">
      <c r="A9" s="398" t="s">
        <v>1610</v>
      </c>
      <c r="B9" s="399"/>
      <c r="C9" s="398" t="s">
        <v>1625</v>
      </c>
      <c r="D9" s="448"/>
      <c r="E9" s="448"/>
      <c r="F9" s="448"/>
      <c r="G9" s="448"/>
      <c r="H9" s="448"/>
      <c r="I9" s="448"/>
      <c r="J9" s="448"/>
      <c r="K9" s="449"/>
      <c r="L9" s="449"/>
      <c r="M9" s="450"/>
      <c r="N9" s="451"/>
      <c r="O9" s="449"/>
      <c r="P9" s="451"/>
      <c r="Q9" s="449"/>
      <c r="R9" s="449"/>
      <c r="S9" s="451"/>
      <c r="T9" s="449"/>
      <c r="U9" s="449"/>
      <c r="V9" s="449"/>
    </row>
    <row r="10" spans="1:22" ht="60" x14ac:dyDescent="0.25">
      <c r="A10" s="41" t="s">
        <v>1529</v>
      </c>
      <c r="B10" s="85"/>
      <c r="C10" s="41" t="s">
        <v>1614</v>
      </c>
      <c r="D10" s="95"/>
      <c r="E10" s="95"/>
      <c r="F10" s="95"/>
      <c r="G10" s="95"/>
      <c r="H10" s="95"/>
      <c r="I10" s="95"/>
      <c r="J10" s="95"/>
      <c r="K10" s="97" t="s">
        <v>1550</v>
      </c>
      <c r="L10" s="97"/>
      <c r="M10" s="254" t="s">
        <v>1550</v>
      </c>
      <c r="N10" s="96"/>
      <c r="O10" s="97" t="s">
        <v>1550</v>
      </c>
      <c r="P10" s="96"/>
      <c r="Q10" s="97" t="s">
        <v>1550</v>
      </c>
      <c r="R10" s="97"/>
      <c r="S10" s="96" t="s">
        <v>1550</v>
      </c>
      <c r="T10" s="97"/>
      <c r="U10" s="97"/>
      <c r="V10" s="97"/>
    </row>
    <row r="11" spans="1:22" ht="72" x14ac:dyDescent="0.25">
      <c r="A11" s="43" t="s">
        <v>1527</v>
      </c>
      <c r="B11" s="46"/>
      <c r="C11" s="42" t="s">
        <v>1615</v>
      </c>
      <c r="D11" s="252"/>
      <c r="E11" s="252"/>
      <c r="F11" s="252"/>
      <c r="G11" s="252"/>
      <c r="H11" s="252"/>
      <c r="I11" s="252"/>
      <c r="J11" s="252"/>
      <c r="K11" s="100" t="s">
        <v>1550</v>
      </c>
      <c r="L11" s="100"/>
      <c r="M11" s="255" t="s">
        <v>1550</v>
      </c>
      <c r="N11" s="99"/>
      <c r="O11" s="100" t="s">
        <v>1550</v>
      </c>
      <c r="P11" s="99"/>
      <c r="Q11" s="100" t="s">
        <v>1550</v>
      </c>
      <c r="R11" s="100"/>
      <c r="S11" s="99" t="s">
        <v>1550</v>
      </c>
      <c r="T11" s="100"/>
      <c r="U11" s="100"/>
      <c r="V11" s="100"/>
    </row>
    <row r="12" spans="1:22" ht="84" x14ac:dyDescent="0.25">
      <c r="A12" s="428" t="s">
        <v>1673</v>
      </c>
      <c r="B12" s="429"/>
      <c r="C12" s="428" t="s">
        <v>214</v>
      </c>
      <c r="D12" s="456"/>
      <c r="E12" s="456"/>
      <c r="F12" s="456"/>
      <c r="G12" s="456"/>
      <c r="H12" s="456"/>
      <c r="I12" s="456"/>
      <c r="J12" s="456"/>
      <c r="K12" s="457"/>
      <c r="L12" s="457"/>
      <c r="M12" s="458"/>
      <c r="N12" s="459"/>
      <c r="O12" s="457" t="s">
        <v>1550</v>
      </c>
      <c r="P12" s="459"/>
      <c r="Q12" s="457" t="s">
        <v>1550</v>
      </c>
      <c r="R12" s="457"/>
      <c r="S12" s="459" t="s">
        <v>1550</v>
      </c>
      <c r="T12" s="457"/>
      <c r="U12" s="457"/>
      <c r="V12" s="457"/>
    </row>
    <row r="13" spans="1:22" ht="48" x14ac:dyDescent="0.25">
      <c r="A13" s="428" t="s">
        <v>1530</v>
      </c>
      <c r="B13" s="429"/>
      <c r="C13" s="428" t="s">
        <v>215</v>
      </c>
      <c r="D13" s="456"/>
      <c r="E13" s="456"/>
      <c r="F13" s="456"/>
      <c r="G13" s="456"/>
      <c r="H13" s="456"/>
      <c r="I13" s="456"/>
      <c r="J13" s="456"/>
      <c r="K13" s="457"/>
      <c r="L13" s="457"/>
      <c r="M13" s="458"/>
      <c r="N13" s="459"/>
      <c r="O13" s="457"/>
      <c r="P13" s="459"/>
      <c r="Q13" s="457"/>
      <c r="R13" s="457"/>
      <c r="S13" s="459"/>
      <c r="T13" s="457"/>
      <c r="U13" s="457"/>
      <c r="V13" s="457"/>
    </row>
    <row r="14" spans="1:22" ht="60" x14ac:dyDescent="0.25">
      <c r="A14" s="428" t="s">
        <v>1531</v>
      </c>
      <c r="B14" s="429"/>
      <c r="C14" s="428" t="s">
        <v>216</v>
      </c>
      <c r="D14" s="456"/>
      <c r="E14" s="456"/>
      <c r="F14" s="456"/>
      <c r="G14" s="456"/>
      <c r="H14" s="456"/>
      <c r="I14" s="456"/>
      <c r="J14" s="456"/>
      <c r="K14" s="457"/>
      <c r="L14" s="457"/>
      <c r="M14" s="458"/>
      <c r="N14" s="459"/>
      <c r="O14" s="457"/>
      <c r="P14" s="459"/>
      <c r="Q14" s="457"/>
      <c r="R14" s="457"/>
      <c r="S14" s="459"/>
      <c r="T14" s="457"/>
      <c r="U14" s="457"/>
      <c r="V14" s="457"/>
    </row>
    <row r="15" spans="1:22" ht="108" x14ac:dyDescent="0.25">
      <c r="A15" s="43" t="s">
        <v>1528</v>
      </c>
      <c r="B15" s="46"/>
      <c r="C15" s="42" t="s">
        <v>1616</v>
      </c>
      <c r="D15" s="98"/>
      <c r="E15" s="98"/>
      <c r="F15" s="98"/>
      <c r="G15" s="98"/>
      <c r="H15" s="98"/>
      <c r="I15" s="98"/>
      <c r="J15" s="98"/>
      <c r="K15" s="100"/>
      <c r="L15" s="100"/>
      <c r="M15" s="255"/>
      <c r="N15" s="99"/>
      <c r="O15" s="100"/>
      <c r="P15" s="99"/>
      <c r="Q15" s="100"/>
      <c r="R15" s="100"/>
      <c r="S15" s="99"/>
      <c r="T15" s="100"/>
      <c r="U15" s="100"/>
      <c r="V15" s="100"/>
    </row>
    <row r="16" spans="1:22" ht="48" x14ac:dyDescent="0.25">
      <c r="A16" s="428" t="s">
        <v>1674</v>
      </c>
      <c r="B16" s="429"/>
      <c r="C16" s="428" t="s">
        <v>217</v>
      </c>
      <c r="D16" s="456"/>
      <c r="E16" s="456"/>
      <c r="F16" s="456"/>
      <c r="G16" s="456"/>
      <c r="H16" s="456"/>
      <c r="I16" s="456"/>
      <c r="J16" s="456"/>
      <c r="K16" s="457"/>
      <c r="L16" s="457"/>
      <c r="M16" s="458"/>
      <c r="N16" s="459"/>
      <c r="O16" s="457" t="s">
        <v>1550</v>
      </c>
      <c r="P16" s="459"/>
      <c r="Q16" s="457" t="s">
        <v>1550</v>
      </c>
      <c r="R16" s="457"/>
      <c r="S16" s="459" t="s">
        <v>1550</v>
      </c>
      <c r="T16" s="457"/>
      <c r="U16" s="457"/>
      <c r="V16" s="457"/>
    </row>
    <row r="17" spans="1:22" ht="36" x14ac:dyDescent="0.25">
      <c r="A17" s="49" t="s">
        <v>1554</v>
      </c>
      <c r="B17" s="279" t="s">
        <v>458</v>
      </c>
      <c r="C17" s="23" t="s">
        <v>1188</v>
      </c>
      <c r="D17" s="10" t="s">
        <v>850</v>
      </c>
      <c r="E17" s="10" t="s">
        <v>1585</v>
      </c>
      <c r="F17" s="10" t="s">
        <v>1400</v>
      </c>
      <c r="G17" s="8" t="s">
        <v>1401</v>
      </c>
      <c r="H17" s="10" t="s">
        <v>1586</v>
      </c>
      <c r="I17" s="10" t="s">
        <v>1582</v>
      </c>
      <c r="J17" s="10"/>
      <c r="K17" s="23" t="s">
        <v>1029</v>
      </c>
      <c r="L17" s="23" t="s">
        <v>1</v>
      </c>
      <c r="M17" s="59">
        <v>350000</v>
      </c>
      <c r="N17" s="10"/>
      <c r="O17" s="23"/>
      <c r="P17" s="10"/>
      <c r="Q17" s="23"/>
      <c r="R17" s="23"/>
      <c r="S17" s="10"/>
      <c r="T17" s="23"/>
      <c r="U17" s="23"/>
      <c r="V17" s="23"/>
    </row>
    <row r="18" spans="1:22" ht="48" x14ac:dyDescent="0.25">
      <c r="A18" s="49" t="s">
        <v>1555</v>
      </c>
      <c r="B18" s="279" t="s">
        <v>459</v>
      </c>
      <c r="C18" s="23" t="s">
        <v>1189</v>
      </c>
      <c r="D18" s="10" t="s">
        <v>850</v>
      </c>
      <c r="E18" s="10" t="s">
        <v>1585</v>
      </c>
      <c r="F18" s="10" t="s">
        <v>1400</v>
      </c>
      <c r="G18" s="8" t="s">
        <v>1401</v>
      </c>
      <c r="H18" s="10" t="s">
        <v>1586</v>
      </c>
      <c r="I18" s="10" t="s">
        <v>1582</v>
      </c>
      <c r="J18" s="10"/>
      <c r="K18" s="23" t="s">
        <v>1029</v>
      </c>
      <c r="L18" s="23" t="s">
        <v>1</v>
      </c>
      <c r="M18" s="59">
        <v>30000</v>
      </c>
      <c r="N18" s="10"/>
      <c r="O18" s="23"/>
      <c r="P18" s="10"/>
      <c r="Q18" s="23"/>
      <c r="R18" s="23"/>
      <c r="S18" s="10"/>
      <c r="T18" s="23"/>
      <c r="U18" s="23"/>
      <c r="V18" s="23"/>
    </row>
    <row r="19" spans="1:22" ht="72" x14ac:dyDescent="0.25">
      <c r="A19" s="49" t="s">
        <v>1556</v>
      </c>
      <c r="B19" s="279" t="s">
        <v>460</v>
      </c>
      <c r="C19" s="23" t="s">
        <v>175</v>
      </c>
      <c r="D19" s="10" t="s">
        <v>850</v>
      </c>
      <c r="E19" s="10" t="s">
        <v>1585</v>
      </c>
      <c r="F19" s="10" t="s">
        <v>1400</v>
      </c>
      <c r="G19" s="8" t="s">
        <v>1401</v>
      </c>
      <c r="H19" s="10" t="s">
        <v>1586</v>
      </c>
      <c r="I19" s="10" t="s">
        <v>1582</v>
      </c>
      <c r="J19" s="10"/>
      <c r="K19" s="25" t="s">
        <v>1031</v>
      </c>
      <c r="L19" s="23" t="s">
        <v>2</v>
      </c>
      <c r="M19" s="59">
        <v>5700</v>
      </c>
      <c r="N19" s="24"/>
      <c r="O19" s="25"/>
      <c r="P19" s="24"/>
      <c r="Q19" s="25"/>
      <c r="R19" s="25"/>
      <c r="S19" s="24"/>
      <c r="T19" s="25"/>
      <c r="U19" s="25"/>
      <c r="V19" s="25"/>
    </row>
    <row r="20" spans="1:22" ht="84" x14ac:dyDescent="0.25">
      <c r="A20" s="428" t="s">
        <v>1675</v>
      </c>
      <c r="B20" s="429"/>
      <c r="C20" s="428" t="s">
        <v>218</v>
      </c>
      <c r="D20" s="456"/>
      <c r="E20" s="456"/>
      <c r="F20" s="456"/>
      <c r="G20" s="456"/>
      <c r="H20" s="456"/>
      <c r="I20" s="456"/>
      <c r="J20" s="456"/>
      <c r="K20" s="460"/>
      <c r="L20" s="460"/>
      <c r="M20" s="461"/>
      <c r="N20" s="462"/>
      <c r="O20" s="460"/>
      <c r="P20" s="462"/>
      <c r="Q20" s="460"/>
      <c r="R20" s="460"/>
      <c r="S20" s="462"/>
      <c r="T20" s="460"/>
      <c r="U20" s="460"/>
      <c r="V20" s="460"/>
    </row>
    <row r="21" spans="1:22" ht="48" x14ac:dyDescent="0.25">
      <c r="A21" s="428" t="s">
        <v>1676</v>
      </c>
      <c r="B21" s="429"/>
      <c r="C21" s="428" t="s">
        <v>219</v>
      </c>
      <c r="D21" s="456"/>
      <c r="E21" s="456"/>
      <c r="F21" s="456"/>
      <c r="G21" s="456"/>
      <c r="H21" s="456"/>
      <c r="I21" s="456"/>
      <c r="J21" s="456"/>
      <c r="K21" s="460"/>
      <c r="L21" s="460"/>
      <c r="M21" s="461"/>
      <c r="N21" s="462"/>
      <c r="O21" s="460"/>
      <c r="P21" s="462"/>
      <c r="Q21" s="460"/>
      <c r="R21" s="460"/>
      <c r="S21" s="462"/>
      <c r="T21" s="460"/>
      <c r="U21" s="460"/>
      <c r="V21" s="460"/>
    </row>
    <row r="22" spans="1:22" ht="60" x14ac:dyDescent="0.25">
      <c r="A22" s="428" t="s">
        <v>1677</v>
      </c>
      <c r="B22" s="429"/>
      <c r="C22" s="428" t="s">
        <v>220</v>
      </c>
      <c r="D22" s="456"/>
      <c r="E22" s="456"/>
      <c r="F22" s="456"/>
      <c r="G22" s="456"/>
      <c r="H22" s="456"/>
      <c r="I22" s="456"/>
      <c r="J22" s="456"/>
      <c r="K22" s="460"/>
      <c r="L22" s="460"/>
      <c r="M22" s="461"/>
      <c r="N22" s="462"/>
      <c r="O22" s="460"/>
      <c r="P22" s="462"/>
      <c r="Q22" s="460"/>
      <c r="R22" s="460"/>
      <c r="S22" s="462"/>
      <c r="T22" s="460"/>
      <c r="U22" s="460"/>
      <c r="V22" s="460"/>
    </row>
    <row r="23" spans="1:22" ht="24" x14ac:dyDescent="0.25">
      <c r="A23" s="428" t="s">
        <v>1678</v>
      </c>
      <c r="B23" s="429"/>
      <c r="C23" s="428" t="s">
        <v>221</v>
      </c>
      <c r="D23" s="456"/>
      <c r="E23" s="456"/>
      <c r="F23" s="456"/>
      <c r="G23" s="456"/>
      <c r="H23" s="456"/>
      <c r="I23" s="456"/>
      <c r="J23" s="456"/>
      <c r="K23" s="460"/>
      <c r="L23" s="460"/>
      <c r="M23" s="461"/>
      <c r="N23" s="462"/>
      <c r="O23" s="460"/>
      <c r="P23" s="462"/>
      <c r="Q23" s="460"/>
      <c r="R23" s="460"/>
      <c r="S23" s="462"/>
      <c r="T23" s="460"/>
      <c r="U23" s="460"/>
      <c r="V23" s="460"/>
    </row>
    <row r="24" spans="1:22" ht="72" x14ac:dyDescent="0.25">
      <c r="A24" s="41" t="s">
        <v>1611</v>
      </c>
      <c r="B24" s="203"/>
      <c r="C24" s="41" t="s">
        <v>1552</v>
      </c>
      <c r="D24" s="101" t="s">
        <v>1550</v>
      </c>
      <c r="E24" s="101" t="s">
        <v>1550</v>
      </c>
      <c r="F24" s="101" t="s">
        <v>1550</v>
      </c>
      <c r="G24" s="101"/>
      <c r="H24" s="101" t="s">
        <v>1550</v>
      </c>
      <c r="I24" s="101" t="s">
        <v>1550</v>
      </c>
      <c r="J24" s="101" t="s">
        <v>1550</v>
      </c>
      <c r="K24" s="103"/>
      <c r="L24" s="103"/>
      <c r="M24" s="256"/>
      <c r="N24" s="102"/>
      <c r="O24" s="103"/>
      <c r="P24" s="102"/>
      <c r="Q24" s="103"/>
      <c r="R24" s="103"/>
      <c r="S24" s="102"/>
      <c r="T24" s="103"/>
      <c r="U24" s="103"/>
      <c r="V24" s="103"/>
    </row>
    <row r="25" spans="1:22" ht="72" x14ac:dyDescent="0.25">
      <c r="A25" s="43" t="s">
        <v>940</v>
      </c>
      <c r="B25" s="191"/>
      <c r="C25" s="43" t="s">
        <v>1553</v>
      </c>
      <c r="D25" s="104" t="s">
        <v>1550</v>
      </c>
      <c r="E25" s="104" t="s">
        <v>1550</v>
      </c>
      <c r="F25" s="104" t="s">
        <v>1550</v>
      </c>
      <c r="G25" s="104"/>
      <c r="H25" s="104" t="s">
        <v>1550</v>
      </c>
      <c r="I25" s="104" t="s">
        <v>1550</v>
      </c>
      <c r="J25" s="104" t="s">
        <v>1550</v>
      </c>
      <c r="K25" s="106"/>
      <c r="L25" s="106"/>
      <c r="M25" s="257"/>
      <c r="N25" s="105"/>
      <c r="O25" s="106"/>
      <c r="P25" s="105"/>
      <c r="Q25" s="106"/>
      <c r="R25" s="106"/>
      <c r="S25" s="105"/>
      <c r="T25" s="106"/>
      <c r="U25" s="106"/>
      <c r="V25" s="106"/>
    </row>
    <row r="26" spans="1:22" ht="36" x14ac:dyDescent="0.25">
      <c r="A26" s="434" t="s">
        <v>941</v>
      </c>
      <c r="B26" s="435"/>
      <c r="C26" s="434" t="s">
        <v>1593</v>
      </c>
      <c r="D26" s="463" t="s">
        <v>1550</v>
      </c>
      <c r="E26" s="463" t="s">
        <v>1550</v>
      </c>
      <c r="F26" s="463" t="s">
        <v>1550</v>
      </c>
      <c r="G26" s="463"/>
      <c r="H26" s="463" t="s">
        <v>1550</v>
      </c>
      <c r="I26" s="463" t="s">
        <v>1550</v>
      </c>
      <c r="J26" s="463" t="s">
        <v>1550</v>
      </c>
      <c r="K26" s="460"/>
      <c r="L26" s="460"/>
      <c r="M26" s="461"/>
      <c r="N26" s="462"/>
      <c r="O26" s="460"/>
      <c r="P26" s="462"/>
      <c r="Q26" s="460"/>
      <c r="R26" s="460"/>
      <c r="S26" s="462"/>
      <c r="T26" s="460"/>
      <c r="U26" s="460"/>
      <c r="V26" s="460"/>
    </row>
    <row r="27" spans="1:22" ht="48" x14ac:dyDescent="0.25">
      <c r="A27" s="49" t="s">
        <v>942</v>
      </c>
      <c r="B27" s="279" t="s">
        <v>461</v>
      </c>
      <c r="C27" s="49" t="s">
        <v>1557</v>
      </c>
      <c r="D27" s="9" t="s">
        <v>1580</v>
      </c>
      <c r="E27" s="9" t="s">
        <v>1581</v>
      </c>
      <c r="F27" s="9" t="s">
        <v>1456</v>
      </c>
      <c r="G27" s="9" t="s">
        <v>816</v>
      </c>
      <c r="H27" s="9" t="s">
        <v>1592</v>
      </c>
      <c r="I27" s="9"/>
      <c r="J27" s="9"/>
      <c r="K27" s="258" t="s">
        <v>1031</v>
      </c>
      <c r="L27" s="258" t="s">
        <v>1032</v>
      </c>
      <c r="M27" s="259">
        <v>3073</v>
      </c>
      <c r="N27" s="24"/>
      <c r="O27" s="25"/>
      <c r="P27" s="24"/>
      <c r="Q27" s="25"/>
      <c r="R27" s="25"/>
      <c r="S27" s="24"/>
      <c r="T27" s="25"/>
      <c r="U27" s="25"/>
      <c r="V27" s="25"/>
    </row>
    <row r="28" spans="1:22" ht="60" x14ac:dyDescent="0.25">
      <c r="A28" s="49" t="s">
        <v>943</v>
      </c>
      <c r="B28" s="279" t="s">
        <v>462</v>
      </c>
      <c r="C28" s="49" t="s">
        <v>111</v>
      </c>
      <c r="D28" s="9" t="s">
        <v>1584</v>
      </c>
      <c r="E28" s="9" t="s">
        <v>1585</v>
      </c>
      <c r="F28" s="9" t="s">
        <v>1436</v>
      </c>
      <c r="G28" s="9" t="s">
        <v>1207</v>
      </c>
      <c r="H28" s="26" t="s">
        <v>1586</v>
      </c>
      <c r="I28" s="9" t="s">
        <v>1582</v>
      </c>
      <c r="J28" s="9"/>
      <c r="K28" s="51" t="s">
        <v>1029</v>
      </c>
      <c r="L28" s="50" t="s">
        <v>1030</v>
      </c>
      <c r="M28" s="259">
        <v>29000</v>
      </c>
      <c r="N28" s="24"/>
      <c r="O28" s="25"/>
      <c r="P28" s="24"/>
      <c r="Q28" s="25"/>
      <c r="R28" s="25"/>
      <c r="S28" s="24"/>
      <c r="T28" s="25"/>
      <c r="U28" s="25"/>
      <c r="V28" s="25"/>
    </row>
    <row r="29" spans="1:22" ht="36" x14ac:dyDescent="0.25">
      <c r="A29" s="49" t="s">
        <v>944</v>
      </c>
      <c r="B29" s="279" t="s">
        <v>463</v>
      </c>
      <c r="C29" s="49" t="s">
        <v>356</v>
      </c>
      <c r="D29" s="9" t="s">
        <v>1587</v>
      </c>
      <c r="E29" s="9" t="s">
        <v>1588</v>
      </c>
      <c r="F29" s="9" t="s">
        <v>1454</v>
      </c>
      <c r="G29" s="9" t="s">
        <v>1405</v>
      </c>
      <c r="H29" s="26" t="s">
        <v>1586</v>
      </c>
      <c r="I29" s="9" t="s">
        <v>1582</v>
      </c>
      <c r="J29" s="9"/>
      <c r="K29" s="49" t="s">
        <v>1045</v>
      </c>
      <c r="L29" s="49" t="s">
        <v>1046</v>
      </c>
      <c r="M29" s="59">
        <v>1</v>
      </c>
      <c r="N29" s="24"/>
      <c r="O29" s="25"/>
      <c r="P29" s="24"/>
      <c r="Q29" s="25"/>
      <c r="R29" s="25"/>
      <c r="S29" s="24"/>
      <c r="T29" s="25"/>
      <c r="U29" s="25"/>
      <c r="V29" s="25"/>
    </row>
    <row r="30" spans="1:22" ht="60" x14ac:dyDescent="0.25">
      <c r="A30" s="49" t="s">
        <v>945</v>
      </c>
      <c r="B30" s="279" t="s">
        <v>464</v>
      </c>
      <c r="C30" s="49" t="s">
        <v>1558</v>
      </c>
      <c r="D30" s="9" t="s">
        <v>1580</v>
      </c>
      <c r="E30" s="9" t="s">
        <v>1585</v>
      </c>
      <c r="F30" s="9" t="s">
        <v>1456</v>
      </c>
      <c r="G30" s="9" t="s">
        <v>1207</v>
      </c>
      <c r="H30" s="26" t="s">
        <v>1586</v>
      </c>
      <c r="I30" s="9" t="s">
        <v>1582</v>
      </c>
      <c r="J30" s="9"/>
      <c r="K30" s="258" t="s">
        <v>1031</v>
      </c>
      <c r="L30" s="258" t="s">
        <v>1032</v>
      </c>
      <c r="M30" s="259">
        <v>646</v>
      </c>
      <c r="N30" s="24"/>
      <c r="O30" s="25"/>
      <c r="P30" s="24"/>
      <c r="Q30" s="25"/>
      <c r="R30" s="25"/>
      <c r="S30" s="24"/>
      <c r="T30" s="25"/>
      <c r="U30" s="25"/>
      <c r="V30" s="25"/>
    </row>
    <row r="31" spans="1:22" ht="119.25" customHeight="1" x14ac:dyDescent="0.25">
      <c r="A31" s="49" t="s">
        <v>946</v>
      </c>
      <c r="B31" s="279" t="s">
        <v>465</v>
      </c>
      <c r="C31" s="39" t="s">
        <v>348</v>
      </c>
      <c r="D31" s="9" t="s">
        <v>1580</v>
      </c>
      <c r="E31" s="9" t="s">
        <v>1588</v>
      </c>
      <c r="F31" s="9" t="s">
        <v>1456</v>
      </c>
      <c r="G31" s="90" t="s">
        <v>1405</v>
      </c>
      <c r="H31" s="26" t="s">
        <v>1586</v>
      </c>
      <c r="I31" s="9" t="s">
        <v>1582</v>
      </c>
      <c r="J31" s="9"/>
      <c r="K31" s="258" t="s">
        <v>1045</v>
      </c>
      <c r="L31" s="258" t="s">
        <v>1046</v>
      </c>
      <c r="M31" s="259">
        <v>1</v>
      </c>
      <c r="N31" s="24"/>
      <c r="O31" s="25"/>
      <c r="P31" s="24"/>
      <c r="Q31" s="25"/>
      <c r="R31" s="25"/>
      <c r="S31" s="24"/>
      <c r="T31" s="25"/>
      <c r="U31" s="25"/>
      <c r="V31" s="25"/>
    </row>
    <row r="32" spans="1:22" ht="72" x14ac:dyDescent="0.25">
      <c r="A32" s="49" t="s">
        <v>947</v>
      </c>
      <c r="B32" s="279" t="s">
        <v>466</v>
      </c>
      <c r="C32" s="68" t="s">
        <v>357</v>
      </c>
      <c r="D32" s="10" t="s">
        <v>1589</v>
      </c>
      <c r="E32" s="10" t="s">
        <v>1588</v>
      </c>
      <c r="F32" s="10" t="s">
        <v>1441</v>
      </c>
      <c r="G32" s="10" t="s">
        <v>1405</v>
      </c>
      <c r="H32" s="24" t="s">
        <v>1586</v>
      </c>
      <c r="I32" s="10" t="s">
        <v>1582</v>
      </c>
      <c r="J32" s="10"/>
      <c r="K32" s="25" t="s">
        <v>1045</v>
      </c>
      <c r="L32" s="23" t="s">
        <v>1046</v>
      </c>
      <c r="M32" s="259">
        <v>1</v>
      </c>
      <c r="N32" s="24"/>
      <c r="O32" s="25"/>
      <c r="P32" s="24"/>
      <c r="Q32" s="25"/>
      <c r="R32" s="25"/>
      <c r="S32" s="24"/>
      <c r="T32" s="25"/>
      <c r="U32" s="25"/>
      <c r="V32" s="25"/>
    </row>
    <row r="33" spans="1:22" ht="48" x14ac:dyDescent="0.25">
      <c r="A33" s="49" t="s">
        <v>948</v>
      </c>
      <c r="B33" s="279" t="s">
        <v>467</v>
      </c>
      <c r="C33" s="49" t="s">
        <v>1559</v>
      </c>
      <c r="D33" s="9" t="s">
        <v>1584</v>
      </c>
      <c r="E33" s="9" t="s">
        <v>1585</v>
      </c>
      <c r="F33" s="9" t="s">
        <v>1436</v>
      </c>
      <c r="G33" s="9" t="s">
        <v>1207</v>
      </c>
      <c r="H33" s="26" t="s">
        <v>1586</v>
      </c>
      <c r="I33" s="9" t="s">
        <v>1582</v>
      </c>
      <c r="J33" s="9"/>
      <c r="K33" s="50" t="s">
        <v>1031</v>
      </c>
      <c r="L33" s="50" t="s">
        <v>1032</v>
      </c>
      <c r="M33" s="259">
        <v>494</v>
      </c>
      <c r="N33" s="51" t="s">
        <v>1029</v>
      </c>
      <c r="O33" s="50" t="s">
        <v>1030</v>
      </c>
      <c r="P33" s="24">
        <v>702</v>
      </c>
      <c r="Q33" s="25"/>
      <c r="R33" s="25"/>
      <c r="S33" s="24"/>
      <c r="T33" s="25"/>
      <c r="U33" s="25"/>
      <c r="V33" s="25"/>
    </row>
    <row r="34" spans="1:22" ht="36" x14ac:dyDescent="0.25">
      <c r="A34" s="49" t="s">
        <v>949</v>
      </c>
      <c r="B34" s="279" t="s">
        <v>468</v>
      </c>
      <c r="C34" s="49" t="s">
        <v>1560</v>
      </c>
      <c r="D34" s="9" t="s">
        <v>1584</v>
      </c>
      <c r="E34" s="9" t="s">
        <v>1588</v>
      </c>
      <c r="F34" s="9" t="s">
        <v>1436</v>
      </c>
      <c r="G34" s="90" t="s">
        <v>1405</v>
      </c>
      <c r="H34" s="26" t="s">
        <v>1586</v>
      </c>
      <c r="I34" s="9" t="s">
        <v>1582</v>
      </c>
      <c r="J34" s="9"/>
      <c r="K34" s="50" t="s">
        <v>1045</v>
      </c>
      <c r="L34" s="50" t="s">
        <v>1046</v>
      </c>
      <c r="M34" s="259">
        <v>1</v>
      </c>
      <c r="N34" s="24"/>
      <c r="O34" s="25"/>
      <c r="P34" s="24"/>
      <c r="Q34" s="25"/>
      <c r="R34" s="25"/>
      <c r="S34" s="24"/>
      <c r="T34" s="25"/>
      <c r="U34" s="25"/>
      <c r="V34" s="25"/>
    </row>
    <row r="35" spans="1:22" ht="36" x14ac:dyDescent="0.25">
      <c r="A35" s="49" t="s">
        <v>950</v>
      </c>
      <c r="B35" s="279" t="s">
        <v>469</v>
      </c>
      <c r="C35" s="49" t="s">
        <v>1561</v>
      </c>
      <c r="D35" s="9" t="s">
        <v>1584</v>
      </c>
      <c r="E35" s="9" t="s">
        <v>1588</v>
      </c>
      <c r="F35" s="9" t="s">
        <v>1436</v>
      </c>
      <c r="G35" s="90" t="s">
        <v>1405</v>
      </c>
      <c r="H35" s="26" t="s">
        <v>1586</v>
      </c>
      <c r="I35" s="9" t="s">
        <v>1582</v>
      </c>
      <c r="J35" s="9"/>
      <c r="K35" s="50" t="s">
        <v>1045</v>
      </c>
      <c r="L35" s="50" t="s">
        <v>1046</v>
      </c>
      <c r="M35" s="259">
        <v>1</v>
      </c>
      <c r="N35" s="24"/>
      <c r="O35" s="25"/>
      <c r="P35" s="24"/>
      <c r="Q35" s="25"/>
      <c r="R35" s="25"/>
      <c r="S35" s="24"/>
      <c r="T35" s="25"/>
      <c r="U35" s="25"/>
      <c r="V35" s="25"/>
    </row>
    <row r="36" spans="1:22" ht="72" x14ac:dyDescent="0.25">
      <c r="A36" s="49" t="s">
        <v>951</v>
      </c>
      <c r="B36" s="279" t="s">
        <v>470</v>
      </c>
      <c r="C36" s="49" t="s">
        <v>1562</v>
      </c>
      <c r="D36" s="9" t="s">
        <v>1443</v>
      </c>
      <c r="E36" s="9" t="s">
        <v>1588</v>
      </c>
      <c r="F36" s="9" t="s">
        <v>1455</v>
      </c>
      <c r="G36" s="14" t="s">
        <v>1405</v>
      </c>
      <c r="H36" s="26" t="s">
        <v>1586</v>
      </c>
      <c r="I36" s="9" t="s">
        <v>1582</v>
      </c>
      <c r="J36" s="9"/>
      <c r="K36" s="23" t="s">
        <v>1045</v>
      </c>
      <c r="L36" s="23" t="s">
        <v>1046</v>
      </c>
      <c r="M36" s="259">
        <v>1</v>
      </c>
      <c r="N36" s="24"/>
      <c r="O36" s="25"/>
      <c r="P36" s="24"/>
      <c r="Q36" s="25"/>
      <c r="R36" s="25"/>
      <c r="S36" s="24"/>
      <c r="T36" s="25"/>
      <c r="U36" s="25"/>
      <c r="V36" s="25"/>
    </row>
    <row r="37" spans="1:22" ht="72" x14ac:dyDescent="0.25">
      <c r="A37" s="434" t="s">
        <v>954</v>
      </c>
      <c r="B37" s="436"/>
      <c r="C37" s="434" t="s">
        <v>1595</v>
      </c>
      <c r="D37" s="463"/>
      <c r="E37" s="463" t="s">
        <v>1550</v>
      </c>
      <c r="F37" s="463" t="s">
        <v>1550</v>
      </c>
      <c r="G37" s="463"/>
      <c r="H37" s="463" t="s">
        <v>1550</v>
      </c>
      <c r="I37" s="463" t="s">
        <v>1550</v>
      </c>
      <c r="J37" s="463" t="s">
        <v>1550</v>
      </c>
      <c r="K37" s="460"/>
      <c r="L37" s="460"/>
      <c r="M37" s="461"/>
      <c r="N37" s="462"/>
      <c r="O37" s="460"/>
      <c r="P37" s="462"/>
      <c r="Q37" s="460"/>
      <c r="R37" s="460"/>
      <c r="S37" s="462"/>
      <c r="T37" s="460"/>
      <c r="U37" s="460"/>
      <c r="V37" s="460"/>
    </row>
    <row r="38" spans="1:22" ht="72" x14ac:dyDescent="0.25">
      <c r="A38" s="43" t="s">
        <v>955</v>
      </c>
      <c r="B38" s="198"/>
      <c r="C38" s="43" t="s">
        <v>1532</v>
      </c>
      <c r="D38" s="104" t="s">
        <v>1550</v>
      </c>
      <c r="E38" s="104" t="s">
        <v>1550</v>
      </c>
      <c r="F38" s="104"/>
      <c r="G38" s="107"/>
      <c r="H38" s="107"/>
      <c r="I38" s="104" t="s">
        <v>1550</v>
      </c>
      <c r="J38" s="104" t="s">
        <v>1550</v>
      </c>
      <c r="K38" s="106"/>
      <c r="L38" s="106"/>
      <c r="M38" s="257"/>
      <c r="N38" s="105"/>
      <c r="O38" s="106"/>
      <c r="P38" s="105"/>
      <c r="Q38" s="106"/>
      <c r="R38" s="106"/>
      <c r="S38" s="105"/>
      <c r="T38" s="106"/>
      <c r="U38" s="106"/>
      <c r="V38" s="106"/>
    </row>
    <row r="39" spans="1:22" ht="60" x14ac:dyDescent="0.25">
      <c r="A39" s="434" t="s">
        <v>956</v>
      </c>
      <c r="B39" s="436"/>
      <c r="C39" s="434" t="s">
        <v>1596</v>
      </c>
      <c r="D39" s="463" t="s">
        <v>1550</v>
      </c>
      <c r="E39" s="463" t="s">
        <v>1550</v>
      </c>
      <c r="F39" s="463"/>
      <c r="G39" s="464"/>
      <c r="H39" s="464"/>
      <c r="I39" s="463" t="s">
        <v>1550</v>
      </c>
      <c r="J39" s="463" t="s">
        <v>1550</v>
      </c>
      <c r="K39" s="460"/>
      <c r="L39" s="460"/>
      <c r="M39" s="461"/>
      <c r="N39" s="462"/>
      <c r="O39" s="460"/>
      <c r="P39" s="462"/>
      <c r="Q39" s="460"/>
      <c r="R39" s="460"/>
      <c r="S39" s="462"/>
      <c r="T39" s="460"/>
      <c r="U39" s="460"/>
      <c r="V39" s="460"/>
    </row>
    <row r="40" spans="1:22" ht="36" x14ac:dyDescent="0.25">
      <c r="A40" s="49" t="s">
        <v>964</v>
      </c>
      <c r="B40" s="279" t="s">
        <v>471</v>
      </c>
      <c r="C40" s="49" t="s">
        <v>1563</v>
      </c>
      <c r="D40" s="9" t="s">
        <v>1590</v>
      </c>
      <c r="E40" s="9" t="s">
        <v>1585</v>
      </c>
      <c r="F40" s="9" t="s">
        <v>1446</v>
      </c>
      <c r="G40" s="90" t="s">
        <v>1207</v>
      </c>
      <c r="H40" s="26" t="s">
        <v>1586</v>
      </c>
      <c r="I40" s="9" t="s">
        <v>1582</v>
      </c>
      <c r="J40" s="9"/>
      <c r="K40" s="258" t="s">
        <v>1029</v>
      </c>
      <c r="L40" s="258" t="s">
        <v>1141</v>
      </c>
      <c r="M40" s="59">
        <v>45254.62</v>
      </c>
      <c r="N40" s="10"/>
      <c r="O40" s="23"/>
      <c r="P40" s="10"/>
      <c r="Q40" s="23"/>
      <c r="R40" s="23"/>
      <c r="S40" s="10"/>
      <c r="T40" s="25"/>
      <c r="U40" s="25"/>
      <c r="V40" s="25"/>
    </row>
    <row r="41" spans="1:22" ht="101.25" customHeight="1" x14ac:dyDescent="0.25">
      <c r="A41" s="49" t="s">
        <v>965</v>
      </c>
      <c r="B41" s="279" t="s">
        <v>1839</v>
      </c>
      <c r="C41" s="49" t="s">
        <v>1234</v>
      </c>
      <c r="D41" s="9" t="s">
        <v>1590</v>
      </c>
      <c r="E41" s="9" t="s">
        <v>1585</v>
      </c>
      <c r="F41" s="9" t="s">
        <v>1446</v>
      </c>
      <c r="G41" s="90" t="s">
        <v>1207</v>
      </c>
      <c r="H41" s="26" t="s">
        <v>1586</v>
      </c>
      <c r="I41" s="9" t="s">
        <v>1582</v>
      </c>
      <c r="J41" s="9"/>
      <c r="K41" s="260" t="s">
        <v>1029</v>
      </c>
      <c r="L41" s="258" t="s">
        <v>1141</v>
      </c>
      <c r="M41" s="10">
        <v>48650</v>
      </c>
      <c r="N41" s="260"/>
      <c r="O41" s="258"/>
      <c r="P41" s="10"/>
      <c r="Q41" s="258"/>
      <c r="R41" s="258"/>
      <c r="S41" s="10"/>
      <c r="T41" s="25"/>
      <c r="U41" s="25"/>
      <c r="V41" s="25"/>
    </row>
    <row r="42" spans="1:22" ht="36" x14ac:dyDescent="0.25">
      <c r="A42" s="49" t="s">
        <v>966</v>
      </c>
      <c r="B42" s="279" t="s">
        <v>472</v>
      </c>
      <c r="C42" s="49" t="s">
        <v>1883</v>
      </c>
      <c r="D42" s="9" t="s">
        <v>1587</v>
      </c>
      <c r="E42" s="9" t="s">
        <v>1585</v>
      </c>
      <c r="F42" s="9" t="s">
        <v>1454</v>
      </c>
      <c r="G42" s="8" t="s">
        <v>14</v>
      </c>
      <c r="H42" s="26" t="s">
        <v>1586</v>
      </c>
      <c r="I42" s="9" t="s">
        <v>1582</v>
      </c>
      <c r="J42" s="9"/>
      <c r="K42" s="261" t="s">
        <v>1029</v>
      </c>
      <c r="L42" s="49" t="s">
        <v>1182</v>
      </c>
      <c r="M42" s="59">
        <v>15858</v>
      </c>
      <c r="N42" s="24"/>
      <c r="O42" s="25"/>
      <c r="P42" s="24"/>
      <c r="Q42" s="25"/>
      <c r="R42" s="25"/>
      <c r="S42" s="24"/>
      <c r="T42" s="25"/>
      <c r="U42" s="25"/>
      <c r="V42" s="25"/>
    </row>
    <row r="43" spans="1:22" ht="72" x14ac:dyDescent="0.25">
      <c r="A43" s="49" t="s">
        <v>967</v>
      </c>
      <c r="B43" s="279" t="s">
        <v>473</v>
      </c>
      <c r="C43" s="49" t="s">
        <v>349</v>
      </c>
      <c r="D43" s="9" t="s">
        <v>1580</v>
      </c>
      <c r="E43" s="9" t="s">
        <v>1585</v>
      </c>
      <c r="F43" s="9" t="s">
        <v>1456</v>
      </c>
      <c r="G43" s="14" t="s">
        <v>1207</v>
      </c>
      <c r="H43" s="26" t="s">
        <v>1586</v>
      </c>
      <c r="I43" s="9" t="s">
        <v>1582</v>
      </c>
      <c r="J43" s="9"/>
      <c r="K43" s="258" t="s">
        <v>1029</v>
      </c>
      <c r="L43" s="258" t="s">
        <v>1182</v>
      </c>
      <c r="M43" s="259">
        <v>29432</v>
      </c>
      <c r="N43" s="24"/>
      <c r="O43" s="25"/>
      <c r="P43" s="24"/>
      <c r="Q43" s="25"/>
      <c r="R43" s="25"/>
      <c r="S43" s="24"/>
      <c r="T43" s="25"/>
      <c r="U43" s="25"/>
      <c r="V43" s="25"/>
    </row>
    <row r="44" spans="1:22" ht="36" x14ac:dyDescent="0.25">
      <c r="A44" s="49" t="s">
        <v>968</v>
      </c>
      <c r="B44" s="279" t="s">
        <v>474</v>
      </c>
      <c r="C44" s="39" t="s">
        <v>350</v>
      </c>
      <c r="D44" s="9" t="s">
        <v>1580</v>
      </c>
      <c r="E44" s="9" t="s">
        <v>1585</v>
      </c>
      <c r="F44" s="9" t="s">
        <v>1456</v>
      </c>
      <c r="G44" s="9" t="s">
        <v>1207</v>
      </c>
      <c r="H44" s="26" t="s">
        <v>1586</v>
      </c>
      <c r="I44" s="9" t="s">
        <v>1582</v>
      </c>
      <c r="J44" s="9"/>
      <c r="K44" s="258" t="s">
        <v>1029</v>
      </c>
      <c r="L44" s="258" t="s">
        <v>1182</v>
      </c>
      <c r="M44" s="259">
        <v>20000</v>
      </c>
      <c r="N44" s="24"/>
      <c r="O44" s="25"/>
      <c r="P44" s="24"/>
      <c r="Q44" s="25"/>
      <c r="R44" s="25"/>
      <c r="S44" s="24"/>
      <c r="T44" s="25"/>
      <c r="U44" s="25"/>
      <c r="V44" s="25"/>
    </row>
    <row r="45" spans="1:22" ht="48" x14ac:dyDescent="0.25">
      <c r="A45" s="49" t="s">
        <v>969</v>
      </c>
      <c r="B45" s="279" t="s">
        <v>475</v>
      </c>
      <c r="C45" s="49" t="s">
        <v>1564</v>
      </c>
      <c r="D45" s="9" t="s">
        <v>1580</v>
      </c>
      <c r="E45" s="9" t="s">
        <v>1585</v>
      </c>
      <c r="F45" s="9" t="s">
        <v>1456</v>
      </c>
      <c r="G45" s="9" t="s">
        <v>1207</v>
      </c>
      <c r="H45" s="26" t="s">
        <v>1586</v>
      </c>
      <c r="I45" s="9" t="s">
        <v>1582</v>
      </c>
      <c r="J45" s="9"/>
      <c r="K45" s="258" t="s">
        <v>1029</v>
      </c>
      <c r="L45" s="258" t="s">
        <v>1030</v>
      </c>
      <c r="M45" s="259">
        <v>19419</v>
      </c>
      <c r="N45" s="51" t="s">
        <v>1031</v>
      </c>
      <c r="O45" s="50" t="s">
        <v>1032</v>
      </c>
      <c r="P45" s="24">
        <v>16</v>
      </c>
      <c r="Q45" s="25"/>
      <c r="R45" s="25"/>
      <c r="S45" s="24"/>
      <c r="T45" s="25"/>
      <c r="U45" s="25"/>
      <c r="V45" s="25"/>
    </row>
    <row r="46" spans="1:22" ht="48" x14ac:dyDescent="0.25">
      <c r="A46" s="49" t="s">
        <v>970</v>
      </c>
      <c r="B46" s="279" t="s">
        <v>476</v>
      </c>
      <c r="C46" s="23" t="s">
        <v>1565</v>
      </c>
      <c r="D46" s="10" t="s">
        <v>1589</v>
      </c>
      <c r="E46" s="10" t="s">
        <v>1585</v>
      </c>
      <c r="F46" s="10" t="s">
        <v>1441</v>
      </c>
      <c r="G46" s="10" t="s">
        <v>1207</v>
      </c>
      <c r="H46" s="24" t="s">
        <v>1586</v>
      </c>
      <c r="I46" s="10" t="s">
        <v>1582</v>
      </c>
      <c r="J46" s="10"/>
      <c r="K46" s="25" t="s">
        <v>1029</v>
      </c>
      <c r="L46" s="23" t="s">
        <v>1141</v>
      </c>
      <c r="M46" s="259">
        <v>2025</v>
      </c>
      <c r="N46" s="24"/>
      <c r="O46" s="25"/>
      <c r="P46" s="24"/>
      <c r="Q46" s="25"/>
      <c r="R46" s="25"/>
      <c r="S46" s="24"/>
      <c r="T46" s="25"/>
      <c r="U46" s="25"/>
      <c r="V46" s="25"/>
    </row>
    <row r="47" spans="1:22" ht="60" x14ac:dyDescent="0.25">
      <c r="A47" s="49" t="s">
        <v>971</v>
      </c>
      <c r="B47" s="279" t="s">
        <v>477</v>
      </c>
      <c r="C47" s="23" t="s">
        <v>1566</v>
      </c>
      <c r="D47" s="10" t="s">
        <v>1589</v>
      </c>
      <c r="E47" s="10" t="s">
        <v>1585</v>
      </c>
      <c r="F47" s="10" t="s">
        <v>1441</v>
      </c>
      <c r="G47" s="10" t="s">
        <v>1207</v>
      </c>
      <c r="H47" s="24" t="s">
        <v>1586</v>
      </c>
      <c r="I47" s="10" t="s">
        <v>1582</v>
      </c>
      <c r="J47" s="10"/>
      <c r="K47" s="25" t="s">
        <v>1029</v>
      </c>
      <c r="L47" s="23" t="s">
        <v>1141</v>
      </c>
      <c r="M47" s="259">
        <v>8821.7199999999993</v>
      </c>
      <c r="N47" s="24"/>
      <c r="O47" s="25"/>
      <c r="P47" s="24"/>
      <c r="Q47" s="25"/>
      <c r="R47" s="25"/>
      <c r="S47" s="24"/>
      <c r="T47" s="25"/>
      <c r="U47" s="25"/>
      <c r="V47" s="25"/>
    </row>
    <row r="48" spans="1:22" ht="96" x14ac:dyDescent="0.25">
      <c r="A48" s="49" t="s">
        <v>972</v>
      </c>
      <c r="B48" s="279" t="s">
        <v>478</v>
      </c>
      <c r="C48" s="23" t="s">
        <v>1686</v>
      </c>
      <c r="D48" s="10" t="s">
        <v>1589</v>
      </c>
      <c r="E48" s="10" t="s">
        <v>1585</v>
      </c>
      <c r="F48" s="10" t="s">
        <v>1441</v>
      </c>
      <c r="G48" s="10" t="s">
        <v>1207</v>
      </c>
      <c r="H48" s="24" t="s">
        <v>1586</v>
      </c>
      <c r="I48" s="10" t="s">
        <v>1582</v>
      </c>
      <c r="J48" s="10"/>
      <c r="K48" s="25" t="s">
        <v>1029</v>
      </c>
      <c r="L48" s="23" t="s">
        <v>1141</v>
      </c>
      <c r="M48" s="259">
        <v>509851.88</v>
      </c>
      <c r="N48" s="24"/>
      <c r="O48" s="25"/>
      <c r="P48" s="24"/>
      <c r="Q48" s="25"/>
      <c r="R48" s="25"/>
      <c r="S48" s="24"/>
      <c r="T48" s="25"/>
      <c r="U48" s="25"/>
      <c r="V48" s="25"/>
    </row>
    <row r="49" spans="1:22" ht="36" x14ac:dyDescent="0.25">
      <c r="A49" s="49" t="s">
        <v>973</v>
      </c>
      <c r="B49" s="279" t="s">
        <v>479</v>
      </c>
      <c r="C49" s="23" t="s">
        <v>1567</v>
      </c>
      <c r="D49" s="10" t="s">
        <v>1589</v>
      </c>
      <c r="E49" s="10" t="s">
        <v>1585</v>
      </c>
      <c r="F49" s="10" t="s">
        <v>1441</v>
      </c>
      <c r="G49" s="10" t="s">
        <v>1207</v>
      </c>
      <c r="H49" s="24" t="s">
        <v>1586</v>
      </c>
      <c r="I49" s="10" t="s">
        <v>1582</v>
      </c>
      <c r="J49" s="10"/>
      <c r="K49" s="25" t="s">
        <v>1029</v>
      </c>
      <c r="L49" s="23" t="s">
        <v>1141</v>
      </c>
      <c r="M49" s="259">
        <v>35000</v>
      </c>
      <c r="N49" s="24"/>
      <c r="O49" s="25"/>
      <c r="P49" s="24"/>
      <c r="Q49" s="25"/>
      <c r="R49" s="25"/>
      <c r="S49" s="24"/>
      <c r="T49" s="25"/>
      <c r="U49" s="25"/>
      <c r="V49" s="25"/>
    </row>
    <row r="50" spans="1:22" ht="36" x14ac:dyDescent="0.25">
      <c r="A50" s="49" t="s">
        <v>974</v>
      </c>
      <c r="B50" s="279" t="s">
        <v>480</v>
      </c>
      <c r="C50" s="23" t="s">
        <v>345</v>
      </c>
      <c r="D50" s="10" t="s">
        <v>1589</v>
      </c>
      <c r="E50" s="10" t="s">
        <v>1585</v>
      </c>
      <c r="F50" s="10" t="s">
        <v>1441</v>
      </c>
      <c r="G50" s="10" t="s">
        <v>1207</v>
      </c>
      <c r="H50" s="24" t="s">
        <v>1586</v>
      </c>
      <c r="I50" s="10" t="s">
        <v>1582</v>
      </c>
      <c r="J50" s="10"/>
      <c r="K50" s="25" t="s">
        <v>1029</v>
      </c>
      <c r="L50" s="23" t="s">
        <v>1141</v>
      </c>
      <c r="M50" s="259">
        <v>15200</v>
      </c>
      <c r="N50" s="24"/>
      <c r="O50" s="25"/>
      <c r="P50" s="24"/>
      <c r="Q50" s="25"/>
      <c r="R50" s="25"/>
      <c r="S50" s="24"/>
      <c r="T50" s="25"/>
      <c r="U50" s="25"/>
      <c r="V50" s="25"/>
    </row>
    <row r="51" spans="1:22" ht="90" customHeight="1" x14ac:dyDescent="0.25">
      <c r="A51" s="49" t="s">
        <v>975</v>
      </c>
      <c r="B51" s="279" t="s">
        <v>481</v>
      </c>
      <c r="C51" s="49" t="s">
        <v>1568</v>
      </c>
      <c r="D51" s="9" t="s">
        <v>1584</v>
      </c>
      <c r="E51" s="9" t="s">
        <v>1585</v>
      </c>
      <c r="F51" s="9" t="s">
        <v>1436</v>
      </c>
      <c r="G51" s="9" t="s">
        <v>1207</v>
      </c>
      <c r="H51" s="26" t="s">
        <v>1586</v>
      </c>
      <c r="I51" s="9" t="s">
        <v>1582</v>
      </c>
      <c r="J51" s="9"/>
      <c r="K51" s="50" t="s">
        <v>1029</v>
      </c>
      <c r="L51" s="50" t="s">
        <v>1030</v>
      </c>
      <c r="M51" s="259">
        <v>141600</v>
      </c>
      <c r="N51" s="24"/>
      <c r="O51" s="25"/>
      <c r="P51" s="24"/>
      <c r="Q51" s="25"/>
      <c r="R51" s="25"/>
      <c r="S51" s="24"/>
      <c r="T51" s="25"/>
      <c r="U51" s="25"/>
      <c r="V51" s="25"/>
    </row>
    <row r="52" spans="1:22" ht="48" x14ac:dyDescent="0.25">
      <c r="A52" s="49" t="s">
        <v>976</v>
      </c>
      <c r="B52" s="279" t="s">
        <v>482</v>
      </c>
      <c r="C52" s="49" t="s">
        <v>1569</v>
      </c>
      <c r="D52" s="9" t="s">
        <v>1584</v>
      </c>
      <c r="E52" s="9" t="s">
        <v>1585</v>
      </c>
      <c r="F52" s="9" t="s">
        <v>1436</v>
      </c>
      <c r="G52" s="9" t="s">
        <v>1207</v>
      </c>
      <c r="H52" s="26" t="s">
        <v>1586</v>
      </c>
      <c r="I52" s="9" t="s">
        <v>1582</v>
      </c>
      <c r="J52" s="9"/>
      <c r="K52" s="50" t="s">
        <v>1031</v>
      </c>
      <c r="L52" s="50" t="s">
        <v>1032</v>
      </c>
      <c r="M52" s="259">
        <v>147</v>
      </c>
      <c r="N52" s="51" t="s">
        <v>1029</v>
      </c>
      <c r="O52" s="50" t="s">
        <v>1030</v>
      </c>
      <c r="P52" s="24">
        <v>3534</v>
      </c>
      <c r="Q52" s="25"/>
      <c r="R52" s="25"/>
      <c r="S52" s="24"/>
      <c r="T52" s="25"/>
      <c r="U52" s="25"/>
      <c r="V52" s="25"/>
    </row>
    <row r="53" spans="1:22" ht="141.75" customHeight="1" x14ac:dyDescent="0.25">
      <c r="A53" s="49" t="s">
        <v>977</v>
      </c>
      <c r="B53" s="279" t="s">
        <v>483</v>
      </c>
      <c r="C53" s="49" t="s">
        <v>263</v>
      </c>
      <c r="D53" s="9" t="s">
        <v>1584</v>
      </c>
      <c r="E53" s="9" t="s">
        <v>1585</v>
      </c>
      <c r="F53" s="9" t="s">
        <v>1436</v>
      </c>
      <c r="G53" s="9" t="s">
        <v>1207</v>
      </c>
      <c r="H53" s="26" t="s">
        <v>1586</v>
      </c>
      <c r="I53" s="9" t="s">
        <v>1582</v>
      </c>
      <c r="J53" s="9"/>
      <c r="K53" s="50" t="s">
        <v>1029</v>
      </c>
      <c r="L53" s="50" t="s">
        <v>1030</v>
      </c>
      <c r="M53" s="262">
        <v>68477</v>
      </c>
      <c r="N53" s="10" t="s">
        <v>1031</v>
      </c>
      <c r="O53" s="23" t="s">
        <v>1389</v>
      </c>
      <c r="P53" s="24">
        <v>75</v>
      </c>
      <c r="Q53" s="25"/>
      <c r="R53" s="25"/>
      <c r="S53" s="24"/>
      <c r="T53" s="25"/>
      <c r="U53" s="25"/>
      <c r="V53" s="25"/>
    </row>
    <row r="54" spans="1:22" ht="36" x14ac:dyDescent="0.25">
      <c r="A54" s="49" t="s">
        <v>978</v>
      </c>
      <c r="B54" s="472" t="s">
        <v>484</v>
      </c>
      <c r="C54" s="49" t="s">
        <v>1570</v>
      </c>
      <c r="D54" s="9" t="s">
        <v>1443</v>
      </c>
      <c r="E54" s="9" t="s">
        <v>1585</v>
      </c>
      <c r="F54" s="9" t="s">
        <v>1455</v>
      </c>
      <c r="G54" s="9" t="s">
        <v>1207</v>
      </c>
      <c r="H54" s="26" t="s">
        <v>1586</v>
      </c>
      <c r="I54" s="9" t="s">
        <v>858</v>
      </c>
      <c r="J54" s="9"/>
      <c r="K54" s="23" t="s">
        <v>1029</v>
      </c>
      <c r="L54" s="23" t="s">
        <v>1030</v>
      </c>
      <c r="M54" s="259">
        <v>10246.01</v>
      </c>
      <c r="N54" s="24"/>
      <c r="O54" s="25"/>
      <c r="P54" s="24"/>
      <c r="Q54" s="25"/>
      <c r="R54" s="25"/>
      <c r="S54" s="24"/>
      <c r="T54" s="25"/>
      <c r="U54" s="25"/>
      <c r="V54" s="25"/>
    </row>
    <row r="55" spans="1:22" ht="48" x14ac:dyDescent="0.25">
      <c r="A55" s="49" t="s">
        <v>979</v>
      </c>
      <c r="B55" s="472" t="s">
        <v>485</v>
      </c>
      <c r="C55" s="49" t="s">
        <v>1571</v>
      </c>
      <c r="D55" s="9" t="s">
        <v>1443</v>
      </c>
      <c r="E55" s="9" t="s">
        <v>1585</v>
      </c>
      <c r="F55" s="9" t="s">
        <v>1455</v>
      </c>
      <c r="G55" s="9" t="s">
        <v>1207</v>
      </c>
      <c r="H55" s="9" t="s">
        <v>1586</v>
      </c>
      <c r="I55" s="9" t="s">
        <v>1582</v>
      </c>
      <c r="J55" s="9"/>
      <c r="K55" s="23" t="s">
        <v>1029</v>
      </c>
      <c r="L55" s="23" t="s">
        <v>1030</v>
      </c>
      <c r="M55" s="259">
        <v>58156</v>
      </c>
      <c r="N55" s="10"/>
      <c r="O55" s="23"/>
      <c r="P55" s="10"/>
      <c r="Q55" s="25"/>
      <c r="R55" s="25"/>
      <c r="S55" s="24"/>
      <c r="T55" s="25"/>
      <c r="U55" s="25"/>
      <c r="V55" s="25"/>
    </row>
    <row r="56" spans="1:22" ht="72" x14ac:dyDescent="0.25">
      <c r="A56" s="49" t="s">
        <v>980</v>
      </c>
      <c r="B56" s="472" t="s">
        <v>486</v>
      </c>
      <c r="C56" s="49" t="s">
        <v>1572</v>
      </c>
      <c r="D56" s="9" t="s">
        <v>1443</v>
      </c>
      <c r="E56" s="9" t="s">
        <v>1585</v>
      </c>
      <c r="F56" s="9" t="s">
        <v>1455</v>
      </c>
      <c r="G56" s="9" t="s">
        <v>1207</v>
      </c>
      <c r="H56" s="9" t="s">
        <v>1586</v>
      </c>
      <c r="I56" s="9" t="s">
        <v>1582</v>
      </c>
      <c r="J56" s="9"/>
      <c r="K56" s="23" t="s">
        <v>1029</v>
      </c>
      <c r="L56" s="23" t="s">
        <v>1030</v>
      </c>
      <c r="M56" s="259">
        <v>40001</v>
      </c>
      <c r="N56" s="10"/>
      <c r="O56" s="23"/>
      <c r="P56" s="52"/>
      <c r="Q56" s="23"/>
      <c r="R56" s="23"/>
      <c r="S56" s="10"/>
      <c r="T56" s="25"/>
      <c r="U56" s="25"/>
      <c r="V56" s="25"/>
    </row>
    <row r="57" spans="1:22" ht="60" x14ac:dyDescent="0.25">
      <c r="A57" s="49" t="s">
        <v>981</v>
      </c>
      <c r="B57" s="472" t="s">
        <v>487</v>
      </c>
      <c r="C57" s="39" t="s">
        <v>352</v>
      </c>
      <c r="D57" s="9" t="s">
        <v>1443</v>
      </c>
      <c r="E57" s="9" t="s">
        <v>1585</v>
      </c>
      <c r="F57" s="9" t="s">
        <v>1455</v>
      </c>
      <c r="G57" s="9" t="s">
        <v>1207</v>
      </c>
      <c r="H57" s="9" t="s">
        <v>1586</v>
      </c>
      <c r="I57" s="9" t="s">
        <v>1582</v>
      </c>
      <c r="J57" s="9"/>
      <c r="K57" s="23" t="s">
        <v>1029</v>
      </c>
      <c r="L57" s="23" t="s">
        <v>1030</v>
      </c>
      <c r="M57" s="262">
        <v>10015</v>
      </c>
      <c r="N57" s="10" t="s">
        <v>1031</v>
      </c>
      <c r="O57" s="23" t="s">
        <v>1389</v>
      </c>
      <c r="P57" s="24">
        <v>794.02</v>
      </c>
      <c r="Q57" s="25"/>
      <c r="R57" s="25"/>
      <c r="S57" s="24"/>
      <c r="T57" s="25"/>
      <c r="U57" s="25"/>
      <c r="V57" s="25"/>
    </row>
    <row r="58" spans="1:22" ht="163.5" customHeight="1" x14ac:dyDescent="0.25">
      <c r="A58" s="49" t="s">
        <v>982</v>
      </c>
      <c r="B58" s="472" t="s">
        <v>488</v>
      </c>
      <c r="C58" s="39" t="s">
        <v>351</v>
      </c>
      <c r="D58" s="9" t="s">
        <v>1443</v>
      </c>
      <c r="E58" s="8" t="s">
        <v>1591</v>
      </c>
      <c r="F58" s="9" t="s">
        <v>1455</v>
      </c>
      <c r="G58" s="11" t="s">
        <v>1878</v>
      </c>
      <c r="H58" s="11" t="s">
        <v>1878</v>
      </c>
      <c r="I58" s="9" t="s">
        <v>858</v>
      </c>
      <c r="J58" s="9"/>
      <c r="K58" s="23" t="s">
        <v>1029</v>
      </c>
      <c r="L58" s="23" t="s">
        <v>1030</v>
      </c>
      <c r="M58" s="259">
        <v>2796.06</v>
      </c>
      <c r="N58" s="24" t="s">
        <v>1031</v>
      </c>
      <c r="O58" s="23" t="s">
        <v>1389</v>
      </c>
      <c r="P58" s="24">
        <v>229.33</v>
      </c>
      <c r="Q58" s="25"/>
      <c r="R58" s="25"/>
      <c r="S58" s="24"/>
      <c r="T58" s="25"/>
      <c r="U58" s="25"/>
      <c r="V58" s="25"/>
    </row>
    <row r="59" spans="1:22" ht="163.5" customHeight="1" x14ac:dyDescent="0.25">
      <c r="A59" s="49" t="s">
        <v>434</v>
      </c>
      <c r="B59" s="472" t="s">
        <v>489</v>
      </c>
      <c r="C59" s="39" t="s">
        <v>435</v>
      </c>
      <c r="D59" s="11" t="s">
        <v>1589</v>
      </c>
      <c r="E59" s="11" t="s">
        <v>1585</v>
      </c>
      <c r="F59" s="11" t="s">
        <v>1441</v>
      </c>
      <c r="G59" s="90" t="s">
        <v>1207</v>
      </c>
      <c r="H59" s="22" t="s">
        <v>1586</v>
      </c>
      <c r="I59" s="11" t="s">
        <v>1582</v>
      </c>
      <c r="J59" s="9"/>
      <c r="K59" s="23" t="s">
        <v>1029</v>
      </c>
      <c r="L59" s="23" t="s">
        <v>1030</v>
      </c>
      <c r="M59" s="259">
        <v>56350</v>
      </c>
      <c r="N59" s="24"/>
      <c r="O59" s="23"/>
      <c r="P59" s="24"/>
      <c r="Q59" s="25"/>
      <c r="R59" s="25"/>
      <c r="S59" s="24"/>
      <c r="T59" s="25"/>
      <c r="U59" s="25"/>
      <c r="V59" s="25"/>
    </row>
    <row r="60" spans="1:22" ht="163.5" customHeight="1" x14ac:dyDescent="0.25">
      <c r="A60" s="49" t="s">
        <v>1875</v>
      </c>
      <c r="B60" s="472" t="s">
        <v>1880</v>
      </c>
      <c r="C60" s="39" t="s">
        <v>1876</v>
      </c>
      <c r="D60" s="11" t="s">
        <v>1877</v>
      </c>
      <c r="E60" s="11" t="s">
        <v>1878</v>
      </c>
      <c r="F60" s="11" t="s">
        <v>1400</v>
      </c>
      <c r="G60" s="11" t="s">
        <v>1878</v>
      </c>
      <c r="H60" s="11" t="s">
        <v>1878</v>
      </c>
      <c r="I60" s="11" t="s">
        <v>1879</v>
      </c>
      <c r="J60" s="9"/>
      <c r="K60" s="23"/>
      <c r="L60" s="114"/>
      <c r="M60" s="317"/>
      <c r="N60" s="24"/>
      <c r="O60" s="23"/>
      <c r="P60" s="24"/>
      <c r="Q60" s="25"/>
      <c r="R60" s="25"/>
      <c r="S60" s="24"/>
      <c r="T60" s="25"/>
      <c r="U60" s="25"/>
      <c r="V60" s="25"/>
    </row>
    <row r="61" spans="1:22" ht="36" x14ac:dyDescent="0.25">
      <c r="A61" s="434" t="s">
        <v>957</v>
      </c>
      <c r="B61" s="438"/>
      <c r="C61" s="434" t="s">
        <v>1597</v>
      </c>
      <c r="D61" s="463" t="s">
        <v>1550</v>
      </c>
      <c r="E61" s="463" t="s">
        <v>1550</v>
      </c>
      <c r="F61" s="463" t="s">
        <v>1550</v>
      </c>
      <c r="G61" s="463"/>
      <c r="H61" s="463" t="s">
        <v>1550</v>
      </c>
      <c r="I61" s="463" t="s">
        <v>1550</v>
      </c>
      <c r="J61" s="463" t="s">
        <v>1550</v>
      </c>
      <c r="K61" s="460"/>
      <c r="L61" s="460"/>
      <c r="M61" s="461"/>
      <c r="N61" s="462"/>
      <c r="O61" s="460"/>
      <c r="P61" s="462"/>
      <c r="Q61" s="460"/>
      <c r="R61" s="460"/>
      <c r="S61" s="462"/>
      <c r="T61" s="460"/>
      <c r="U61" s="460"/>
      <c r="V61" s="460"/>
    </row>
    <row r="62" spans="1:22" ht="48" x14ac:dyDescent="0.25">
      <c r="A62" s="434" t="s">
        <v>958</v>
      </c>
      <c r="B62" s="438"/>
      <c r="C62" s="434" t="s">
        <v>1594</v>
      </c>
      <c r="D62" s="463"/>
      <c r="E62" s="463"/>
      <c r="F62" s="463"/>
      <c r="G62" s="463"/>
      <c r="H62" s="463"/>
      <c r="I62" s="463"/>
      <c r="J62" s="463"/>
      <c r="K62" s="460"/>
      <c r="L62" s="460"/>
      <c r="M62" s="461"/>
      <c r="N62" s="462"/>
      <c r="O62" s="460"/>
      <c r="P62" s="462"/>
      <c r="Q62" s="460"/>
      <c r="R62" s="460"/>
      <c r="S62" s="462"/>
      <c r="T62" s="460"/>
      <c r="U62" s="460"/>
      <c r="V62" s="460"/>
    </row>
    <row r="63" spans="1:22" ht="24" x14ac:dyDescent="0.25">
      <c r="A63" s="41" t="s">
        <v>1612</v>
      </c>
      <c r="B63" s="45"/>
      <c r="C63" s="41" t="s">
        <v>1613</v>
      </c>
      <c r="D63" s="101"/>
      <c r="E63" s="101"/>
      <c r="F63" s="101"/>
      <c r="G63" s="101"/>
      <c r="H63" s="101"/>
      <c r="I63" s="101"/>
      <c r="J63" s="101"/>
      <c r="K63" s="103"/>
      <c r="L63" s="103"/>
      <c r="M63" s="256"/>
      <c r="N63" s="102"/>
      <c r="O63" s="103"/>
      <c r="P63" s="102"/>
      <c r="Q63" s="103"/>
      <c r="R63" s="103"/>
      <c r="S63" s="102"/>
      <c r="T63" s="103"/>
      <c r="U63" s="103"/>
      <c r="V63" s="103"/>
    </row>
    <row r="64" spans="1:22" ht="36" x14ac:dyDescent="0.25">
      <c r="A64" s="43" t="s">
        <v>959</v>
      </c>
      <c r="B64" s="191"/>
      <c r="C64" s="43" t="s">
        <v>1533</v>
      </c>
      <c r="D64" s="104" t="s">
        <v>1550</v>
      </c>
      <c r="E64" s="104" t="s">
        <v>1550</v>
      </c>
      <c r="F64" s="104" t="s">
        <v>1550</v>
      </c>
      <c r="G64" s="104"/>
      <c r="H64" s="104" t="s">
        <v>1550</v>
      </c>
      <c r="I64" s="104" t="s">
        <v>1550</v>
      </c>
      <c r="J64" s="104" t="s">
        <v>1550</v>
      </c>
      <c r="K64" s="106"/>
      <c r="L64" s="106"/>
      <c r="M64" s="257"/>
      <c r="N64" s="105"/>
      <c r="O64" s="106"/>
      <c r="P64" s="105"/>
      <c r="Q64" s="106"/>
      <c r="R64" s="106"/>
      <c r="S64" s="105"/>
      <c r="T64" s="106"/>
      <c r="U64" s="106"/>
      <c r="V64" s="106"/>
    </row>
    <row r="65" spans="1:22" ht="36" x14ac:dyDescent="0.25">
      <c r="A65" s="434" t="s">
        <v>960</v>
      </c>
      <c r="B65" s="438"/>
      <c r="C65" s="434" t="s">
        <v>1598</v>
      </c>
      <c r="D65" s="463" t="s">
        <v>1550</v>
      </c>
      <c r="E65" s="463" t="s">
        <v>1550</v>
      </c>
      <c r="F65" s="463" t="s">
        <v>1550</v>
      </c>
      <c r="G65" s="463"/>
      <c r="H65" s="463" t="s">
        <v>1550</v>
      </c>
      <c r="I65" s="463" t="s">
        <v>1550</v>
      </c>
      <c r="J65" s="463" t="s">
        <v>1550</v>
      </c>
      <c r="K65" s="460"/>
      <c r="L65" s="460"/>
      <c r="M65" s="461"/>
      <c r="N65" s="462"/>
      <c r="O65" s="460"/>
      <c r="P65" s="462"/>
      <c r="Q65" s="460"/>
      <c r="R65" s="460"/>
      <c r="S65" s="462"/>
      <c r="T65" s="460"/>
      <c r="U65" s="460"/>
      <c r="V65" s="460"/>
    </row>
    <row r="66" spans="1:22" ht="48" x14ac:dyDescent="0.25">
      <c r="A66" s="49" t="s">
        <v>983</v>
      </c>
      <c r="B66" s="279" t="s">
        <v>490</v>
      </c>
      <c r="C66" s="39" t="s">
        <v>353</v>
      </c>
      <c r="D66" s="9" t="s">
        <v>1590</v>
      </c>
      <c r="E66" s="9" t="s">
        <v>1591</v>
      </c>
      <c r="F66" s="9" t="s">
        <v>1446</v>
      </c>
      <c r="G66" s="8" t="s">
        <v>1236</v>
      </c>
      <c r="H66" s="9" t="s">
        <v>1586</v>
      </c>
      <c r="I66" s="9" t="s">
        <v>1582</v>
      </c>
      <c r="J66" s="9"/>
      <c r="K66" s="258" t="s">
        <v>1025</v>
      </c>
      <c r="L66" s="258" t="s">
        <v>1026</v>
      </c>
      <c r="M66" s="59">
        <v>0.65</v>
      </c>
      <c r="N66" s="10" t="s">
        <v>1387</v>
      </c>
      <c r="O66" s="10" t="s">
        <v>1460</v>
      </c>
      <c r="P66" s="24">
        <v>1.7041000000000001E-2</v>
      </c>
      <c r="Q66" s="25"/>
      <c r="R66" s="25"/>
      <c r="S66" s="24"/>
      <c r="T66" s="25"/>
      <c r="U66" s="25"/>
      <c r="V66" s="25"/>
    </row>
    <row r="67" spans="1:22" ht="60" x14ac:dyDescent="0.25">
      <c r="A67" s="49" t="s">
        <v>984</v>
      </c>
      <c r="B67" s="279" t="s">
        <v>491</v>
      </c>
      <c r="C67" s="49" t="s">
        <v>1575</v>
      </c>
      <c r="D67" s="9" t="s">
        <v>1587</v>
      </c>
      <c r="E67" s="9" t="s">
        <v>1591</v>
      </c>
      <c r="F67" s="9" t="s">
        <v>1454</v>
      </c>
      <c r="G67" s="9" t="s">
        <v>1236</v>
      </c>
      <c r="H67" s="9" t="s">
        <v>1586</v>
      </c>
      <c r="I67" s="9" t="s">
        <v>1582</v>
      </c>
      <c r="J67" s="9"/>
      <c r="K67" s="49" t="s">
        <v>1025</v>
      </c>
      <c r="L67" s="49" t="s">
        <v>1026</v>
      </c>
      <c r="M67" s="59">
        <v>2.903</v>
      </c>
      <c r="N67" s="9" t="s">
        <v>1071</v>
      </c>
      <c r="O67" s="49" t="s">
        <v>1072</v>
      </c>
      <c r="P67" s="59">
        <v>17</v>
      </c>
      <c r="Q67" s="25" t="s">
        <v>1387</v>
      </c>
      <c r="R67" s="23" t="s">
        <v>1388</v>
      </c>
      <c r="S67" s="24">
        <v>7.9899999999999999E-2</v>
      </c>
      <c r="T67" s="25"/>
      <c r="U67" s="25"/>
      <c r="V67" s="25"/>
    </row>
    <row r="68" spans="1:22" ht="48" x14ac:dyDescent="0.25">
      <c r="A68" s="49" t="s">
        <v>985</v>
      </c>
      <c r="B68" s="279" t="s">
        <v>492</v>
      </c>
      <c r="C68" s="39" t="s">
        <v>355</v>
      </c>
      <c r="D68" s="9" t="s">
        <v>1580</v>
      </c>
      <c r="E68" s="9" t="s">
        <v>1591</v>
      </c>
      <c r="F68" s="9" t="s">
        <v>1456</v>
      </c>
      <c r="G68" s="9" t="s">
        <v>1236</v>
      </c>
      <c r="H68" s="9" t="s">
        <v>1586</v>
      </c>
      <c r="I68" s="9" t="s">
        <v>1582</v>
      </c>
      <c r="J68" s="9"/>
      <c r="K68" s="258" t="s">
        <v>1025</v>
      </c>
      <c r="L68" s="258" t="s">
        <v>1026</v>
      </c>
      <c r="M68" s="259">
        <v>2</v>
      </c>
      <c r="N68" s="10" t="s">
        <v>1387</v>
      </c>
      <c r="O68" s="10" t="s">
        <v>1460</v>
      </c>
      <c r="P68" s="24">
        <v>1.8509599999999999E-4</v>
      </c>
      <c r="Q68" s="263"/>
      <c r="R68" s="263"/>
      <c r="S68" s="264"/>
      <c r="T68" s="25"/>
      <c r="U68" s="25"/>
      <c r="V68" s="25"/>
    </row>
    <row r="69" spans="1:22" ht="60" x14ac:dyDescent="0.25">
      <c r="A69" s="49" t="s">
        <v>986</v>
      </c>
      <c r="B69" s="279" t="s">
        <v>493</v>
      </c>
      <c r="C69" s="68" t="s">
        <v>103</v>
      </c>
      <c r="D69" s="10" t="s">
        <v>1589</v>
      </c>
      <c r="E69" s="10" t="s">
        <v>1591</v>
      </c>
      <c r="F69" s="10" t="s">
        <v>1441</v>
      </c>
      <c r="G69" s="8" t="s">
        <v>1236</v>
      </c>
      <c r="H69" s="10" t="s">
        <v>1586</v>
      </c>
      <c r="I69" s="10" t="s">
        <v>1582</v>
      </c>
      <c r="J69" s="10"/>
      <c r="K69" s="23" t="s">
        <v>1025</v>
      </c>
      <c r="L69" s="23" t="s">
        <v>1026</v>
      </c>
      <c r="M69" s="59">
        <v>3.69</v>
      </c>
      <c r="N69" s="10" t="s">
        <v>1387</v>
      </c>
      <c r="O69" s="10" t="s">
        <v>1460</v>
      </c>
      <c r="P69" s="10">
        <v>0.5</v>
      </c>
      <c r="Q69" s="23" t="s">
        <v>1071</v>
      </c>
      <c r="R69" s="10" t="s">
        <v>1461</v>
      </c>
      <c r="S69" s="10">
        <v>1</v>
      </c>
      <c r="T69" s="25"/>
      <c r="U69" s="25"/>
      <c r="V69" s="25"/>
    </row>
    <row r="70" spans="1:22" ht="48" x14ac:dyDescent="0.25">
      <c r="A70" s="49" t="s">
        <v>987</v>
      </c>
      <c r="B70" s="279" t="s">
        <v>494</v>
      </c>
      <c r="C70" s="68" t="s">
        <v>65</v>
      </c>
      <c r="D70" s="10" t="s">
        <v>1589</v>
      </c>
      <c r="E70" s="10" t="s">
        <v>1591</v>
      </c>
      <c r="F70" s="10" t="s">
        <v>1441</v>
      </c>
      <c r="G70" s="8" t="s">
        <v>1237</v>
      </c>
      <c r="H70" s="10" t="s">
        <v>1586</v>
      </c>
      <c r="I70" s="10" t="s">
        <v>1582</v>
      </c>
      <c r="J70" s="10"/>
      <c r="K70" s="25" t="s">
        <v>1025</v>
      </c>
      <c r="L70" s="23" t="s">
        <v>1026</v>
      </c>
      <c r="M70" s="259">
        <v>3.69</v>
      </c>
      <c r="N70" s="24"/>
      <c r="O70" s="25"/>
      <c r="P70" s="24"/>
      <c r="Q70" s="25"/>
      <c r="R70" s="25"/>
      <c r="S70" s="24"/>
      <c r="T70" s="25"/>
      <c r="U70" s="25"/>
      <c r="V70" s="25"/>
    </row>
    <row r="71" spans="1:22" ht="48" x14ac:dyDescent="0.25">
      <c r="A71" s="49" t="s">
        <v>988</v>
      </c>
      <c r="B71" s="279" t="s">
        <v>495</v>
      </c>
      <c r="C71" s="49" t="s">
        <v>1579</v>
      </c>
      <c r="D71" s="9" t="s">
        <v>1443</v>
      </c>
      <c r="E71" s="9" t="s">
        <v>1591</v>
      </c>
      <c r="F71" s="9" t="s">
        <v>1455</v>
      </c>
      <c r="G71" s="9" t="s">
        <v>1236</v>
      </c>
      <c r="H71" s="9" t="s">
        <v>1586</v>
      </c>
      <c r="I71" s="9" t="s">
        <v>1582</v>
      </c>
      <c r="J71" s="9"/>
      <c r="K71" s="23" t="s">
        <v>1025</v>
      </c>
      <c r="L71" s="23" t="s">
        <v>1026</v>
      </c>
      <c r="M71" s="259">
        <v>0.60599999999999998</v>
      </c>
      <c r="N71" s="24" t="s">
        <v>1071</v>
      </c>
      <c r="O71" s="23" t="s">
        <v>1461</v>
      </c>
      <c r="P71" s="24">
        <v>1</v>
      </c>
      <c r="Q71" s="25" t="s">
        <v>1387</v>
      </c>
      <c r="R71" s="23" t="s">
        <v>1460</v>
      </c>
      <c r="S71" s="24">
        <v>2.1122369999999999E-3</v>
      </c>
      <c r="T71" s="25"/>
      <c r="U71" s="25"/>
      <c r="V71" s="25"/>
    </row>
    <row r="72" spans="1:22" ht="48" x14ac:dyDescent="0.25">
      <c r="A72" s="49" t="s">
        <v>989</v>
      </c>
      <c r="B72" s="279" t="s">
        <v>496</v>
      </c>
      <c r="C72" s="49" t="s">
        <v>23</v>
      </c>
      <c r="D72" s="9" t="s">
        <v>1443</v>
      </c>
      <c r="E72" s="9" t="s">
        <v>1591</v>
      </c>
      <c r="F72" s="9" t="s">
        <v>1455</v>
      </c>
      <c r="G72" s="9" t="s">
        <v>1236</v>
      </c>
      <c r="H72" s="9" t="s">
        <v>1586</v>
      </c>
      <c r="I72" s="9" t="s">
        <v>1582</v>
      </c>
      <c r="J72" s="9"/>
      <c r="K72" s="23" t="s">
        <v>1025</v>
      </c>
      <c r="L72" s="23" t="s">
        <v>1026</v>
      </c>
      <c r="M72" s="259">
        <v>0.32400000000000001</v>
      </c>
      <c r="N72" s="24" t="s">
        <v>1071</v>
      </c>
      <c r="O72" s="23" t="s">
        <v>1461</v>
      </c>
      <c r="P72" s="24">
        <v>1</v>
      </c>
      <c r="Q72" s="25" t="s">
        <v>1387</v>
      </c>
      <c r="R72" s="23" t="s">
        <v>1460</v>
      </c>
      <c r="S72" s="24">
        <v>1.72364E-3</v>
      </c>
      <c r="T72" s="25"/>
      <c r="U72" s="25"/>
      <c r="V72" s="25"/>
    </row>
    <row r="73" spans="1:22" ht="36" x14ac:dyDescent="0.25">
      <c r="A73" s="49" t="s">
        <v>990</v>
      </c>
      <c r="B73" s="279" t="s">
        <v>497</v>
      </c>
      <c r="C73" s="23" t="s">
        <v>141</v>
      </c>
      <c r="D73" s="10" t="s">
        <v>850</v>
      </c>
      <c r="E73" s="10" t="s">
        <v>1591</v>
      </c>
      <c r="F73" s="10" t="s">
        <v>1400</v>
      </c>
      <c r="G73" s="67" t="s">
        <v>1236</v>
      </c>
      <c r="H73" s="24" t="s">
        <v>1586</v>
      </c>
      <c r="I73" s="10" t="s">
        <v>1582</v>
      </c>
      <c r="J73" s="10"/>
      <c r="K73" s="25" t="s">
        <v>1466</v>
      </c>
      <c r="L73" s="23" t="s">
        <v>49</v>
      </c>
      <c r="M73" s="59">
        <v>0.5</v>
      </c>
      <c r="N73" s="24" t="s">
        <v>1387</v>
      </c>
      <c r="O73" s="23" t="s">
        <v>1426</v>
      </c>
      <c r="P73" s="10">
        <v>3.0999999999999999E-3</v>
      </c>
      <c r="Q73" s="25"/>
      <c r="R73" s="25"/>
      <c r="S73" s="24"/>
      <c r="T73" s="25"/>
      <c r="U73" s="25"/>
      <c r="V73" s="25"/>
    </row>
    <row r="74" spans="1:22" ht="72" x14ac:dyDescent="0.25">
      <c r="A74" s="49" t="s">
        <v>991</v>
      </c>
      <c r="B74" s="279" t="s">
        <v>498</v>
      </c>
      <c r="C74" s="23" t="s">
        <v>333</v>
      </c>
      <c r="D74" s="10" t="s">
        <v>850</v>
      </c>
      <c r="E74" s="10" t="s">
        <v>1591</v>
      </c>
      <c r="F74" s="10" t="s">
        <v>1400</v>
      </c>
      <c r="G74" s="67" t="s">
        <v>1236</v>
      </c>
      <c r="H74" s="24" t="s">
        <v>1586</v>
      </c>
      <c r="I74" s="10" t="s">
        <v>1582</v>
      </c>
      <c r="J74" s="10"/>
      <c r="K74" s="25" t="s">
        <v>1025</v>
      </c>
      <c r="L74" s="23" t="s">
        <v>1026</v>
      </c>
      <c r="M74" s="59">
        <v>9.6349999999999998</v>
      </c>
      <c r="N74" s="24" t="s">
        <v>1387</v>
      </c>
      <c r="O74" s="23" t="s">
        <v>1426</v>
      </c>
      <c r="P74" s="10">
        <v>0.34169498799999998</v>
      </c>
      <c r="Q74" s="25" t="s">
        <v>1071</v>
      </c>
      <c r="R74" s="23" t="s">
        <v>1433</v>
      </c>
      <c r="S74" s="24">
        <v>1</v>
      </c>
      <c r="T74" s="25"/>
      <c r="U74" s="25"/>
      <c r="V74" s="25"/>
    </row>
    <row r="75" spans="1:22" ht="48" x14ac:dyDescent="0.25">
      <c r="A75" s="49" t="s">
        <v>992</v>
      </c>
      <c r="B75" s="279" t="s">
        <v>499</v>
      </c>
      <c r="C75" s="23" t="s">
        <v>335</v>
      </c>
      <c r="D75" s="10" t="s">
        <v>850</v>
      </c>
      <c r="E75" s="10" t="s">
        <v>1591</v>
      </c>
      <c r="F75" s="10" t="s">
        <v>1400</v>
      </c>
      <c r="G75" s="67" t="s">
        <v>1236</v>
      </c>
      <c r="H75" s="24" t="s">
        <v>1586</v>
      </c>
      <c r="I75" s="10" t="s">
        <v>1582</v>
      </c>
      <c r="J75" s="10"/>
      <c r="K75" s="25" t="s">
        <v>1025</v>
      </c>
      <c r="L75" s="23" t="s">
        <v>1026</v>
      </c>
      <c r="M75" s="59">
        <v>0.49</v>
      </c>
      <c r="N75" s="24" t="s">
        <v>1387</v>
      </c>
      <c r="O75" s="23" t="s">
        <v>1426</v>
      </c>
      <c r="P75" s="10">
        <v>0.09</v>
      </c>
      <c r="Q75" s="25"/>
      <c r="R75" s="25"/>
      <c r="S75" s="24"/>
      <c r="T75" s="25"/>
      <c r="U75" s="25"/>
      <c r="V75" s="25"/>
    </row>
    <row r="76" spans="1:22" ht="60" x14ac:dyDescent="0.25">
      <c r="A76" s="49" t="s">
        <v>993</v>
      </c>
      <c r="B76" s="279" t="s">
        <v>500</v>
      </c>
      <c r="C76" s="49" t="s">
        <v>354</v>
      </c>
      <c r="D76" s="9" t="s">
        <v>1584</v>
      </c>
      <c r="E76" s="9" t="s">
        <v>1591</v>
      </c>
      <c r="F76" s="9" t="s">
        <v>1436</v>
      </c>
      <c r="G76" s="67" t="s">
        <v>1236</v>
      </c>
      <c r="H76" s="9" t="s">
        <v>1586</v>
      </c>
      <c r="I76" s="9" t="s">
        <v>1582</v>
      </c>
      <c r="J76" s="9"/>
      <c r="K76" s="25" t="s">
        <v>1071</v>
      </c>
      <c r="L76" s="23" t="s">
        <v>1433</v>
      </c>
      <c r="M76" s="24">
        <v>1</v>
      </c>
      <c r="N76" s="24"/>
      <c r="O76" s="23"/>
      <c r="P76" s="24"/>
      <c r="Q76" s="263"/>
      <c r="R76" s="263"/>
      <c r="S76" s="264"/>
      <c r="T76" s="25"/>
      <c r="U76" s="25"/>
      <c r="V76" s="25"/>
    </row>
    <row r="77" spans="1:22" ht="36" x14ac:dyDescent="0.25">
      <c r="A77" s="49" t="s">
        <v>1140</v>
      </c>
      <c r="B77" s="279" t="s">
        <v>501</v>
      </c>
      <c r="C77" s="39" t="s">
        <v>1431</v>
      </c>
      <c r="D77" s="253" t="s">
        <v>1145</v>
      </c>
      <c r="E77" s="253" t="s">
        <v>1591</v>
      </c>
      <c r="F77" s="8" t="s">
        <v>1147</v>
      </c>
      <c r="G77" s="67" t="s">
        <v>1236</v>
      </c>
      <c r="H77" s="26" t="s">
        <v>1586</v>
      </c>
      <c r="I77" s="9"/>
      <c r="J77" s="9"/>
      <c r="K77" s="25" t="s">
        <v>1071</v>
      </c>
      <c r="L77" s="23" t="s">
        <v>1433</v>
      </c>
      <c r="M77" s="259">
        <v>4</v>
      </c>
      <c r="N77" s="24"/>
      <c r="O77" s="25"/>
      <c r="P77" s="24"/>
      <c r="Q77" s="25"/>
      <c r="R77" s="25"/>
      <c r="S77" s="24"/>
      <c r="T77" s="25"/>
      <c r="U77" s="25"/>
      <c r="V77" s="25"/>
    </row>
    <row r="78" spans="1:22" ht="48" x14ac:dyDescent="0.25">
      <c r="A78" s="49" t="s">
        <v>1203</v>
      </c>
      <c r="B78" s="279" t="s">
        <v>502</v>
      </c>
      <c r="C78" s="23" t="s">
        <v>18</v>
      </c>
      <c r="D78" s="9" t="s">
        <v>1443</v>
      </c>
      <c r="E78" s="26" t="s">
        <v>1591</v>
      </c>
      <c r="F78" s="9" t="s">
        <v>1455</v>
      </c>
      <c r="G78" s="9" t="s">
        <v>1236</v>
      </c>
      <c r="H78" s="26" t="s">
        <v>1586</v>
      </c>
      <c r="I78" s="26" t="s">
        <v>858</v>
      </c>
      <c r="J78" s="9"/>
      <c r="K78" s="25" t="s">
        <v>1025</v>
      </c>
      <c r="L78" s="23" t="s">
        <v>1026</v>
      </c>
      <c r="M78" s="259">
        <v>0.68799999999999994</v>
      </c>
      <c r="N78" s="24" t="s">
        <v>1071</v>
      </c>
      <c r="O78" s="23" t="s">
        <v>1461</v>
      </c>
      <c r="P78" s="24">
        <v>1</v>
      </c>
      <c r="Q78" s="25" t="s">
        <v>1387</v>
      </c>
      <c r="R78" s="23" t="s">
        <v>1460</v>
      </c>
      <c r="S78" s="24">
        <v>2.1998109999999999E-3</v>
      </c>
      <c r="T78" s="25"/>
      <c r="U78" s="25"/>
      <c r="V78" s="25"/>
    </row>
    <row r="79" spans="1:22" ht="48" x14ac:dyDescent="0.25">
      <c r="A79" s="49" t="s">
        <v>19</v>
      </c>
      <c r="B79" s="279" t="s">
        <v>503</v>
      </c>
      <c r="C79" s="23" t="s">
        <v>21</v>
      </c>
      <c r="D79" s="9" t="s">
        <v>1443</v>
      </c>
      <c r="E79" s="26" t="s">
        <v>1591</v>
      </c>
      <c r="F79" s="9" t="s">
        <v>1455</v>
      </c>
      <c r="G79" s="9" t="s">
        <v>1236</v>
      </c>
      <c r="H79" s="26" t="s">
        <v>1586</v>
      </c>
      <c r="I79" s="26" t="s">
        <v>858</v>
      </c>
      <c r="J79" s="9"/>
      <c r="K79" s="375" t="s">
        <v>1025</v>
      </c>
      <c r="L79" s="328" t="s">
        <v>1026</v>
      </c>
      <c r="M79" s="376">
        <v>0.40400000000000003</v>
      </c>
      <c r="N79" s="351" t="s">
        <v>1071</v>
      </c>
      <c r="O79" s="328" t="s">
        <v>1461</v>
      </c>
      <c r="P79" s="351">
        <v>7</v>
      </c>
      <c r="Q79" s="375" t="s">
        <v>1387</v>
      </c>
      <c r="R79" s="328" t="s">
        <v>1460</v>
      </c>
      <c r="S79" s="351">
        <v>2.4699499999999998E-3</v>
      </c>
      <c r="T79" s="25"/>
      <c r="U79" s="25"/>
      <c r="V79" s="25"/>
    </row>
    <row r="80" spans="1:22" ht="48" x14ac:dyDescent="0.25">
      <c r="A80" s="49" t="s">
        <v>20</v>
      </c>
      <c r="B80" s="279" t="s">
        <v>504</v>
      </c>
      <c r="C80" s="23" t="s">
        <v>1355</v>
      </c>
      <c r="D80" s="9" t="s">
        <v>1443</v>
      </c>
      <c r="E80" s="26" t="s">
        <v>1591</v>
      </c>
      <c r="F80" s="9" t="s">
        <v>1455</v>
      </c>
      <c r="G80" s="9" t="s">
        <v>1236</v>
      </c>
      <c r="H80" s="26" t="s">
        <v>1586</v>
      </c>
      <c r="I80" s="26" t="s">
        <v>858</v>
      </c>
      <c r="J80" s="9"/>
      <c r="K80" s="25" t="s">
        <v>1025</v>
      </c>
      <c r="L80" s="23" t="s">
        <v>1026</v>
      </c>
      <c r="M80" s="259">
        <v>0.20499999999999999</v>
      </c>
      <c r="N80" s="24" t="s">
        <v>1071</v>
      </c>
      <c r="O80" s="23" t="s">
        <v>1461</v>
      </c>
      <c r="P80" s="24">
        <v>1</v>
      </c>
      <c r="Q80" s="25" t="s">
        <v>1387</v>
      </c>
      <c r="R80" s="23" t="s">
        <v>1460</v>
      </c>
      <c r="S80" s="24">
        <v>1.2813779999999999E-3</v>
      </c>
      <c r="T80" s="25"/>
      <c r="U80" s="25"/>
      <c r="V80" s="25"/>
    </row>
    <row r="81" spans="1:22" ht="48" x14ac:dyDescent="0.25">
      <c r="A81" s="49" t="s">
        <v>1357</v>
      </c>
      <c r="B81" s="279" t="s">
        <v>505</v>
      </c>
      <c r="C81" s="23" t="s">
        <v>1356</v>
      </c>
      <c r="D81" s="9" t="s">
        <v>1443</v>
      </c>
      <c r="E81" s="9" t="s">
        <v>1591</v>
      </c>
      <c r="F81" s="9" t="s">
        <v>1455</v>
      </c>
      <c r="G81" s="9" t="s">
        <v>1236</v>
      </c>
      <c r="H81" s="26" t="s">
        <v>1586</v>
      </c>
      <c r="I81" s="26" t="s">
        <v>858</v>
      </c>
      <c r="J81" s="9"/>
      <c r="K81" s="25" t="s">
        <v>1025</v>
      </c>
      <c r="L81" s="23" t="s">
        <v>1026</v>
      </c>
      <c r="M81" s="259">
        <v>1.18</v>
      </c>
      <c r="N81" s="24" t="s">
        <v>1071</v>
      </c>
      <c r="O81" s="23" t="s">
        <v>1461</v>
      </c>
      <c r="P81" s="24">
        <v>1</v>
      </c>
      <c r="Q81" s="25" t="s">
        <v>1387</v>
      </c>
      <c r="R81" s="23" t="s">
        <v>1460</v>
      </c>
      <c r="S81" s="24">
        <v>3.8284439999999999E-3</v>
      </c>
      <c r="T81" s="25"/>
      <c r="U81" s="25"/>
      <c r="V81" s="25"/>
    </row>
    <row r="82" spans="1:22" ht="36" x14ac:dyDescent="0.25">
      <c r="A82" s="49" t="s">
        <v>1358</v>
      </c>
      <c r="B82" s="279" t="s">
        <v>506</v>
      </c>
      <c r="C82" s="68" t="s">
        <v>1683</v>
      </c>
      <c r="D82" s="70" t="s">
        <v>1590</v>
      </c>
      <c r="E82" s="26" t="s">
        <v>1591</v>
      </c>
      <c r="F82" s="9" t="s">
        <v>1446</v>
      </c>
      <c r="G82" s="9" t="s">
        <v>1236</v>
      </c>
      <c r="H82" s="26" t="s">
        <v>1586</v>
      </c>
      <c r="I82" s="26" t="s">
        <v>858</v>
      </c>
      <c r="J82" s="9"/>
      <c r="K82" s="9" t="s">
        <v>1071</v>
      </c>
      <c r="L82" s="49" t="s">
        <v>1072</v>
      </c>
      <c r="M82" s="24">
        <v>1</v>
      </c>
      <c r="N82" s="263"/>
      <c r="O82" s="263"/>
      <c r="P82" s="263"/>
      <c r="Q82" s="25"/>
      <c r="R82" s="25"/>
      <c r="S82" s="24"/>
      <c r="T82" s="25"/>
      <c r="U82" s="25"/>
      <c r="V82" s="25"/>
    </row>
    <row r="83" spans="1:22" ht="24" x14ac:dyDescent="0.25">
      <c r="A83" s="49" t="s">
        <v>1444</v>
      </c>
      <c r="B83" s="279" t="s">
        <v>507</v>
      </c>
      <c r="C83" s="68" t="s">
        <v>1882</v>
      </c>
      <c r="D83" s="9" t="s">
        <v>1590</v>
      </c>
      <c r="E83" s="26" t="s">
        <v>1591</v>
      </c>
      <c r="F83" s="9" t="s">
        <v>1446</v>
      </c>
      <c r="G83" s="9" t="s">
        <v>1236</v>
      </c>
      <c r="H83" s="26" t="s">
        <v>1586</v>
      </c>
      <c r="I83" s="26" t="s">
        <v>858</v>
      </c>
      <c r="J83" s="9"/>
      <c r="K83" s="25" t="s">
        <v>1025</v>
      </c>
      <c r="L83" s="23" t="s">
        <v>1026</v>
      </c>
      <c r="M83" s="259">
        <v>1.8</v>
      </c>
      <c r="N83" s="481"/>
      <c r="O83" s="482"/>
      <c r="P83" s="481"/>
      <c r="Q83" s="25"/>
      <c r="R83" s="25"/>
      <c r="S83" s="24"/>
      <c r="T83" s="25"/>
      <c r="U83" s="25"/>
      <c r="V83" s="25"/>
    </row>
    <row r="84" spans="1:22" ht="36" x14ac:dyDescent="0.25">
      <c r="A84" s="49" t="s">
        <v>1482</v>
      </c>
      <c r="B84" s="279" t="s">
        <v>508</v>
      </c>
      <c r="C84" s="74" t="s">
        <v>73</v>
      </c>
      <c r="D84" s="9" t="s">
        <v>1584</v>
      </c>
      <c r="E84" s="21" t="s">
        <v>1591</v>
      </c>
      <c r="F84" s="9" t="s">
        <v>1436</v>
      </c>
      <c r="G84" s="9" t="s">
        <v>1236</v>
      </c>
      <c r="H84" s="26" t="s">
        <v>1586</v>
      </c>
      <c r="I84" s="26" t="s">
        <v>858</v>
      </c>
      <c r="J84" s="9"/>
      <c r="K84" s="25" t="s">
        <v>1025</v>
      </c>
      <c r="L84" s="23" t="s">
        <v>1026</v>
      </c>
      <c r="M84" s="259">
        <v>0.3</v>
      </c>
      <c r="N84" s="24" t="s">
        <v>1387</v>
      </c>
      <c r="O84" s="23" t="s">
        <v>1426</v>
      </c>
      <c r="P84" s="24">
        <v>4.86E-4</v>
      </c>
      <c r="Q84" s="25"/>
      <c r="R84" s="25"/>
      <c r="S84" s="24"/>
      <c r="T84" s="25"/>
      <c r="U84" s="25"/>
      <c r="V84" s="25"/>
    </row>
    <row r="85" spans="1:22" ht="48" x14ac:dyDescent="0.25">
      <c r="A85" s="49" t="s">
        <v>1487</v>
      </c>
      <c r="B85" s="279" t="s">
        <v>509</v>
      </c>
      <c r="C85" s="74" t="s">
        <v>1488</v>
      </c>
      <c r="D85" s="9" t="s">
        <v>1584</v>
      </c>
      <c r="E85" s="26" t="s">
        <v>1591</v>
      </c>
      <c r="F85" s="9" t="s">
        <v>1436</v>
      </c>
      <c r="G85" s="9" t="s">
        <v>1236</v>
      </c>
      <c r="H85" s="26" t="s">
        <v>1586</v>
      </c>
      <c r="I85" s="26" t="s">
        <v>858</v>
      </c>
      <c r="J85" s="9"/>
      <c r="K85" s="25" t="s">
        <v>1025</v>
      </c>
      <c r="L85" s="23" t="s">
        <v>1026</v>
      </c>
      <c r="M85" s="259">
        <v>0.15</v>
      </c>
      <c r="N85" s="24" t="s">
        <v>1387</v>
      </c>
      <c r="O85" s="23" t="s">
        <v>1426</v>
      </c>
      <c r="P85" s="24">
        <v>2.433E-4</v>
      </c>
      <c r="Q85" s="25"/>
      <c r="R85" s="25"/>
      <c r="S85" s="24"/>
      <c r="T85" s="25"/>
      <c r="U85" s="25"/>
      <c r="V85" s="25"/>
    </row>
    <row r="86" spans="1:22" ht="48" x14ac:dyDescent="0.25">
      <c r="A86" s="49" t="s">
        <v>51</v>
      </c>
      <c r="B86" s="279" t="s">
        <v>510</v>
      </c>
      <c r="C86" s="74" t="s">
        <v>52</v>
      </c>
      <c r="D86" s="9" t="s">
        <v>1580</v>
      </c>
      <c r="E86" s="21" t="s">
        <v>1591</v>
      </c>
      <c r="F86" s="9" t="s">
        <v>1456</v>
      </c>
      <c r="G86" s="9" t="s">
        <v>1236</v>
      </c>
      <c r="H86" s="21" t="s">
        <v>1586</v>
      </c>
      <c r="I86" s="26"/>
      <c r="J86" s="9"/>
      <c r="K86" s="9" t="s">
        <v>1071</v>
      </c>
      <c r="L86" s="49" t="s">
        <v>1072</v>
      </c>
      <c r="M86" s="259">
        <v>1</v>
      </c>
      <c r="N86" s="9"/>
      <c r="O86" s="49"/>
      <c r="P86" s="24"/>
      <c r="Q86" s="25"/>
      <c r="R86" s="25"/>
      <c r="S86" s="24"/>
      <c r="T86" s="25"/>
      <c r="U86" s="25"/>
      <c r="V86" s="25"/>
    </row>
    <row r="87" spans="1:22" ht="36" x14ac:dyDescent="0.25">
      <c r="A87" s="49" t="s">
        <v>53</v>
      </c>
      <c r="B87" s="279" t="s">
        <v>511</v>
      </c>
      <c r="C87" s="74" t="s">
        <v>54</v>
      </c>
      <c r="D87" s="9" t="s">
        <v>1580</v>
      </c>
      <c r="E87" s="21" t="s">
        <v>1591</v>
      </c>
      <c r="F87" s="9" t="s">
        <v>1456</v>
      </c>
      <c r="G87" s="9" t="s">
        <v>1236</v>
      </c>
      <c r="H87" s="21" t="s">
        <v>1586</v>
      </c>
      <c r="I87" s="26"/>
      <c r="J87" s="14" t="s">
        <v>1313</v>
      </c>
      <c r="K87" s="9" t="s">
        <v>1071</v>
      </c>
      <c r="L87" s="49" t="s">
        <v>1072</v>
      </c>
      <c r="M87" s="259">
        <v>1</v>
      </c>
      <c r="N87" s="9"/>
      <c r="O87" s="49"/>
      <c r="P87" s="24"/>
      <c r="Q87" s="25"/>
      <c r="R87" s="25"/>
      <c r="S87" s="24"/>
      <c r="T87" s="25"/>
      <c r="U87" s="25"/>
      <c r="V87" s="25"/>
    </row>
    <row r="88" spans="1:22" ht="36" x14ac:dyDescent="0.25">
      <c r="A88" s="434" t="s">
        <v>961</v>
      </c>
      <c r="B88" s="438"/>
      <c r="C88" s="434" t="s">
        <v>1599</v>
      </c>
      <c r="D88" s="463"/>
      <c r="E88" s="463"/>
      <c r="F88" s="463"/>
      <c r="G88" s="463"/>
      <c r="H88" s="463"/>
      <c r="I88" s="463"/>
      <c r="J88" s="463"/>
      <c r="K88" s="460"/>
      <c r="L88" s="460"/>
      <c r="M88" s="461"/>
      <c r="N88" s="462"/>
      <c r="O88" s="460"/>
      <c r="P88" s="462"/>
      <c r="Q88" s="460"/>
      <c r="R88" s="460"/>
      <c r="S88" s="462"/>
      <c r="T88" s="460"/>
      <c r="U88" s="460"/>
      <c r="V88" s="460"/>
    </row>
    <row r="89" spans="1:22" ht="36" x14ac:dyDescent="0.25">
      <c r="A89" s="49" t="s">
        <v>994</v>
      </c>
      <c r="B89" s="279" t="s">
        <v>512</v>
      </c>
      <c r="C89" s="49" t="s">
        <v>1573</v>
      </c>
      <c r="D89" s="9" t="s">
        <v>1587</v>
      </c>
      <c r="E89" s="9" t="s">
        <v>1591</v>
      </c>
      <c r="F89" s="9" t="s">
        <v>1454</v>
      </c>
      <c r="G89" s="9" t="s">
        <v>264</v>
      </c>
      <c r="H89" s="9" t="s">
        <v>1592</v>
      </c>
      <c r="I89" s="9" t="s">
        <v>1582</v>
      </c>
      <c r="J89" s="9"/>
      <c r="K89" s="23" t="s">
        <v>1049</v>
      </c>
      <c r="L89" s="23" t="s">
        <v>1050</v>
      </c>
      <c r="M89" s="59">
        <v>1</v>
      </c>
      <c r="N89" s="9" t="s">
        <v>1059</v>
      </c>
      <c r="O89" s="49" t="s">
        <v>1060</v>
      </c>
      <c r="P89" s="9" t="s">
        <v>1181</v>
      </c>
      <c r="Q89" s="25"/>
      <c r="R89" s="25"/>
      <c r="S89" s="24"/>
      <c r="T89" s="25"/>
      <c r="U89" s="25"/>
      <c r="V89" s="25"/>
    </row>
    <row r="90" spans="1:22" ht="36" x14ac:dyDescent="0.25">
      <c r="A90" s="49" t="s">
        <v>995</v>
      </c>
      <c r="B90" s="279" t="s">
        <v>513</v>
      </c>
      <c r="C90" s="49" t="s">
        <v>1574</v>
      </c>
      <c r="D90" s="9" t="s">
        <v>1587</v>
      </c>
      <c r="E90" s="9" t="s">
        <v>1591</v>
      </c>
      <c r="F90" s="9" t="s">
        <v>1454</v>
      </c>
      <c r="G90" s="9" t="s">
        <v>1237</v>
      </c>
      <c r="H90" s="9" t="s">
        <v>1586</v>
      </c>
      <c r="I90" s="9" t="s">
        <v>1582</v>
      </c>
      <c r="J90" s="9"/>
      <c r="K90" s="49" t="s">
        <v>1059</v>
      </c>
      <c r="L90" s="49" t="s">
        <v>1060</v>
      </c>
      <c r="M90" s="59">
        <v>10</v>
      </c>
      <c r="N90" s="9"/>
      <c r="O90" s="49"/>
      <c r="P90" s="9"/>
      <c r="Q90" s="25"/>
      <c r="R90" s="25"/>
      <c r="S90" s="24"/>
      <c r="T90" s="25"/>
      <c r="U90" s="25"/>
      <c r="V90" s="25"/>
    </row>
    <row r="91" spans="1:22" ht="36" x14ac:dyDescent="0.25">
      <c r="A91" s="49" t="s">
        <v>996</v>
      </c>
      <c r="B91" s="279" t="s">
        <v>514</v>
      </c>
      <c r="C91" s="23" t="s">
        <v>851</v>
      </c>
      <c r="D91" s="10" t="s">
        <v>850</v>
      </c>
      <c r="E91" s="10" t="s">
        <v>1591</v>
      </c>
      <c r="F91" s="10" t="s">
        <v>1400</v>
      </c>
      <c r="G91" s="67" t="s">
        <v>1236</v>
      </c>
      <c r="H91" s="24" t="s">
        <v>1586</v>
      </c>
      <c r="I91" s="10" t="s">
        <v>1582</v>
      </c>
      <c r="J91" s="10"/>
      <c r="K91" s="25" t="s">
        <v>1071</v>
      </c>
      <c r="L91" s="23" t="s">
        <v>1158</v>
      </c>
      <c r="M91" s="259">
        <v>1</v>
      </c>
      <c r="N91" s="24"/>
      <c r="O91" s="25"/>
      <c r="P91" s="24"/>
      <c r="Q91" s="25"/>
      <c r="R91" s="25"/>
      <c r="S91" s="24"/>
      <c r="T91" s="25"/>
      <c r="U91" s="25"/>
      <c r="V91" s="25"/>
    </row>
    <row r="92" spans="1:22" ht="48" x14ac:dyDescent="0.25">
      <c r="A92" s="49" t="s">
        <v>997</v>
      </c>
      <c r="B92" s="279" t="s">
        <v>515</v>
      </c>
      <c r="C92" s="23" t="s">
        <v>852</v>
      </c>
      <c r="D92" s="10" t="s">
        <v>850</v>
      </c>
      <c r="E92" s="10" t="s">
        <v>1591</v>
      </c>
      <c r="F92" s="10" t="s">
        <v>1400</v>
      </c>
      <c r="G92" s="67" t="s">
        <v>1236</v>
      </c>
      <c r="H92" s="24" t="s">
        <v>1586</v>
      </c>
      <c r="I92" s="10" t="s">
        <v>1582</v>
      </c>
      <c r="J92" s="10"/>
      <c r="K92" s="25" t="s">
        <v>1071</v>
      </c>
      <c r="L92" s="23" t="s">
        <v>1158</v>
      </c>
      <c r="M92" s="259">
        <v>1</v>
      </c>
      <c r="N92" s="24"/>
      <c r="O92" s="25"/>
      <c r="P92" s="24"/>
      <c r="Q92" s="25"/>
      <c r="R92" s="25"/>
      <c r="S92" s="24"/>
      <c r="T92" s="25"/>
      <c r="U92" s="25"/>
      <c r="V92" s="25"/>
    </row>
    <row r="93" spans="1:22" ht="36" x14ac:dyDescent="0.25">
      <c r="A93" s="49" t="s">
        <v>998</v>
      </c>
      <c r="B93" s="279" t="s">
        <v>516</v>
      </c>
      <c r="C93" s="23" t="s">
        <v>336</v>
      </c>
      <c r="D93" s="10" t="s">
        <v>850</v>
      </c>
      <c r="E93" s="10" t="s">
        <v>1591</v>
      </c>
      <c r="F93" s="10" t="s">
        <v>1400</v>
      </c>
      <c r="G93" s="67" t="s">
        <v>1236</v>
      </c>
      <c r="H93" s="24" t="s">
        <v>1586</v>
      </c>
      <c r="I93" s="10" t="s">
        <v>1582</v>
      </c>
      <c r="J93" s="10"/>
      <c r="K93" s="25" t="s">
        <v>1071</v>
      </c>
      <c r="L93" s="23" t="s">
        <v>1158</v>
      </c>
      <c r="M93" s="259">
        <v>1</v>
      </c>
      <c r="N93" s="24"/>
      <c r="O93" s="25"/>
      <c r="P93" s="24"/>
      <c r="Q93" s="25"/>
      <c r="R93" s="25"/>
      <c r="S93" s="24"/>
      <c r="T93" s="25"/>
      <c r="U93" s="25"/>
      <c r="V93" s="25"/>
    </row>
    <row r="94" spans="1:22" ht="24" x14ac:dyDescent="0.25">
      <c r="A94" s="49" t="s">
        <v>999</v>
      </c>
      <c r="B94" s="279" t="s">
        <v>517</v>
      </c>
      <c r="C94" s="23" t="s">
        <v>1144</v>
      </c>
      <c r="D94" s="10" t="s">
        <v>1145</v>
      </c>
      <c r="E94" s="10" t="s">
        <v>1591</v>
      </c>
      <c r="F94" s="10" t="s">
        <v>1147</v>
      </c>
      <c r="G94" s="10" t="s">
        <v>1237</v>
      </c>
      <c r="H94" s="10" t="s">
        <v>1586</v>
      </c>
      <c r="I94" s="10"/>
      <c r="J94" s="10"/>
      <c r="K94" s="258" t="s">
        <v>1059</v>
      </c>
      <c r="L94" s="258" t="s">
        <v>1060</v>
      </c>
      <c r="M94" s="259">
        <v>3</v>
      </c>
      <c r="N94" s="24"/>
      <c r="O94" s="25"/>
      <c r="P94" s="24"/>
      <c r="Q94" s="25"/>
      <c r="R94" s="25"/>
      <c r="S94" s="24"/>
      <c r="T94" s="25"/>
      <c r="U94" s="25"/>
      <c r="V94" s="25"/>
    </row>
    <row r="95" spans="1:22" ht="24" x14ac:dyDescent="0.25">
      <c r="A95" s="49" t="s">
        <v>1000</v>
      </c>
      <c r="B95" s="279" t="s">
        <v>518</v>
      </c>
      <c r="C95" s="23" t="s">
        <v>1187</v>
      </c>
      <c r="D95" s="10" t="s">
        <v>1145</v>
      </c>
      <c r="E95" s="10" t="s">
        <v>1591</v>
      </c>
      <c r="F95" s="10" t="s">
        <v>1147</v>
      </c>
      <c r="G95" s="10" t="s">
        <v>1402</v>
      </c>
      <c r="H95" s="10" t="s">
        <v>1592</v>
      </c>
      <c r="I95" s="10"/>
      <c r="J95" s="11"/>
      <c r="K95" s="23" t="s">
        <v>1059</v>
      </c>
      <c r="L95" s="23" t="s">
        <v>1060</v>
      </c>
      <c r="M95" s="265">
        <v>1</v>
      </c>
      <c r="N95" s="53"/>
      <c r="O95" s="54"/>
      <c r="P95" s="53"/>
      <c r="Q95" s="263"/>
      <c r="R95" s="263"/>
      <c r="S95" s="264"/>
      <c r="T95" s="263"/>
      <c r="U95" s="263"/>
      <c r="V95" s="263"/>
    </row>
    <row r="96" spans="1:22" ht="24" x14ac:dyDescent="0.25">
      <c r="A96" s="49" t="s">
        <v>1001</v>
      </c>
      <c r="B96" s="279" t="s">
        <v>519</v>
      </c>
      <c r="C96" s="23" t="s">
        <v>337</v>
      </c>
      <c r="D96" s="10" t="s">
        <v>850</v>
      </c>
      <c r="E96" s="10" t="s">
        <v>1591</v>
      </c>
      <c r="F96" s="10" t="s">
        <v>1400</v>
      </c>
      <c r="G96" s="13" t="s">
        <v>1402</v>
      </c>
      <c r="H96" s="24" t="s">
        <v>1592</v>
      </c>
      <c r="I96" s="10" t="s">
        <v>858</v>
      </c>
      <c r="J96" s="10"/>
      <c r="K96" s="25" t="s">
        <v>1059</v>
      </c>
      <c r="L96" s="23" t="s">
        <v>1060</v>
      </c>
      <c r="M96" s="259">
        <v>1</v>
      </c>
      <c r="N96" s="24"/>
      <c r="O96" s="25"/>
      <c r="P96" s="24"/>
      <c r="Q96" s="25"/>
      <c r="R96" s="25"/>
      <c r="S96" s="24"/>
      <c r="T96" s="25"/>
      <c r="U96" s="25"/>
      <c r="V96" s="25"/>
    </row>
    <row r="97" spans="1:22" ht="48" x14ac:dyDescent="0.25">
      <c r="A97" s="434" t="s">
        <v>962</v>
      </c>
      <c r="B97" s="438"/>
      <c r="C97" s="434" t="s">
        <v>1600</v>
      </c>
      <c r="D97" s="463" t="s">
        <v>1550</v>
      </c>
      <c r="E97" s="463" t="s">
        <v>1550</v>
      </c>
      <c r="F97" s="463" t="s">
        <v>1550</v>
      </c>
      <c r="G97" s="463"/>
      <c r="H97" s="463" t="s">
        <v>1550</v>
      </c>
      <c r="I97" s="463" t="s">
        <v>1550</v>
      </c>
      <c r="J97" s="463" t="s">
        <v>1550</v>
      </c>
      <c r="K97" s="460"/>
      <c r="L97" s="460"/>
      <c r="M97" s="461"/>
      <c r="N97" s="462"/>
      <c r="O97" s="460"/>
      <c r="P97" s="462"/>
      <c r="Q97" s="460"/>
      <c r="R97" s="460"/>
      <c r="S97" s="462"/>
      <c r="T97" s="460"/>
      <c r="U97" s="460"/>
      <c r="V97" s="460"/>
    </row>
    <row r="98" spans="1:22" ht="36" x14ac:dyDescent="0.25">
      <c r="A98" s="49" t="s">
        <v>1002</v>
      </c>
      <c r="B98" s="279" t="s">
        <v>520</v>
      </c>
      <c r="C98" s="49" t="s">
        <v>1576</v>
      </c>
      <c r="D98" s="9" t="s">
        <v>1587</v>
      </c>
      <c r="E98" s="9" t="s">
        <v>1591</v>
      </c>
      <c r="F98" s="9" t="s">
        <v>1454</v>
      </c>
      <c r="G98" s="9" t="s">
        <v>1238</v>
      </c>
      <c r="H98" s="9" t="s">
        <v>1586</v>
      </c>
      <c r="I98" s="9" t="s">
        <v>1582</v>
      </c>
      <c r="J98" s="9"/>
      <c r="K98" s="49" t="s">
        <v>1057</v>
      </c>
      <c r="L98" s="258" t="s">
        <v>39</v>
      </c>
      <c r="M98" s="59">
        <v>0.27500000000000002</v>
      </c>
      <c r="N98" s="9" t="s">
        <v>131</v>
      </c>
      <c r="O98" s="23" t="s">
        <v>132</v>
      </c>
      <c r="P98" s="24">
        <v>0.49</v>
      </c>
      <c r="Q98" s="25"/>
      <c r="R98" s="25"/>
      <c r="S98" s="24"/>
      <c r="T98" s="25"/>
      <c r="U98" s="25"/>
      <c r="V98" s="25"/>
    </row>
    <row r="99" spans="1:22" ht="114" customHeight="1" x14ac:dyDescent="0.25">
      <c r="A99" s="49" t="s">
        <v>1003</v>
      </c>
      <c r="B99" s="279" t="s">
        <v>521</v>
      </c>
      <c r="C99" s="49" t="s">
        <v>1578</v>
      </c>
      <c r="D99" s="9" t="s">
        <v>1580</v>
      </c>
      <c r="E99" s="9" t="s">
        <v>1591</v>
      </c>
      <c r="F99" s="9" t="s">
        <v>1456</v>
      </c>
      <c r="G99" s="9" t="s">
        <v>1238</v>
      </c>
      <c r="H99" s="9" t="s">
        <v>1586</v>
      </c>
      <c r="I99" s="9" t="s">
        <v>1582</v>
      </c>
      <c r="J99" s="9"/>
      <c r="K99" s="9" t="s">
        <v>131</v>
      </c>
      <c r="L99" s="23" t="s">
        <v>132</v>
      </c>
      <c r="M99" s="259">
        <v>1.1100000000000001</v>
      </c>
      <c r="N99" s="24"/>
      <c r="O99" s="25"/>
      <c r="P99" s="24"/>
      <c r="Q99" s="25"/>
      <c r="R99" s="25"/>
      <c r="S99" s="24"/>
      <c r="T99" s="25"/>
      <c r="U99" s="25"/>
      <c r="V99" s="25"/>
    </row>
    <row r="100" spans="1:22" ht="48" x14ac:dyDescent="0.25">
      <c r="A100" s="49" t="s">
        <v>1004</v>
      </c>
      <c r="B100" s="279" t="s">
        <v>522</v>
      </c>
      <c r="C100" s="23" t="s">
        <v>1315</v>
      </c>
      <c r="D100" s="10" t="s">
        <v>1589</v>
      </c>
      <c r="E100" s="10" t="s">
        <v>1591</v>
      </c>
      <c r="F100" s="10" t="s">
        <v>1441</v>
      </c>
      <c r="G100" s="9" t="s">
        <v>1237</v>
      </c>
      <c r="H100" s="10" t="s">
        <v>1586</v>
      </c>
      <c r="I100" s="10" t="s">
        <v>1582</v>
      </c>
      <c r="J100" s="10"/>
      <c r="K100" s="25" t="s">
        <v>1057</v>
      </c>
      <c r="L100" s="23" t="s">
        <v>1058</v>
      </c>
      <c r="M100" s="259">
        <v>0.9</v>
      </c>
      <c r="N100" s="24"/>
      <c r="O100" s="25"/>
      <c r="P100" s="24"/>
      <c r="Q100" s="25"/>
      <c r="R100" s="25"/>
      <c r="S100" s="24"/>
      <c r="T100" s="25"/>
      <c r="U100" s="25"/>
      <c r="V100" s="25"/>
    </row>
    <row r="101" spans="1:22" ht="36" x14ac:dyDescent="0.25">
      <c r="A101" s="49" t="s">
        <v>1005</v>
      </c>
      <c r="B101" s="279" t="s">
        <v>523</v>
      </c>
      <c r="C101" s="49" t="s">
        <v>1489</v>
      </c>
      <c r="D101" s="9" t="s">
        <v>1584</v>
      </c>
      <c r="E101" s="9" t="s">
        <v>1591</v>
      </c>
      <c r="F101" s="9" t="s">
        <v>1436</v>
      </c>
      <c r="G101" s="9" t="s">
        <v>1238</v>
      </c>
      <c r="H101" s="9" t="s">
        <v>1586</v>
      </c>
      <c r="I101" s="9" t="s">
        <v>1582</v>
      </c>
      <c r="J101" s="9"/>
      <c r="K101" s="50" t="s">
        <v>1057</v>
      </c>
      <c r="L101" s="258" t="s">
        <v>39</v>
      </c>
      <c r="M101" s="259">
        <v>1</v>
      </c>
      <c r="N101" s="24"/>
      <c r="O101" s="25"/>
      <c r="P101" s="24"/>
      <c r="Q101" s="25"/>
      <c r="R101" s="25"/>
      <c r="S101" s="24"/>
      <c r="T101" s="25"/>
      <c r="U101" s="25"/>
      <c r="V101" s="25"/>
    </row>
    <row r="102" spans="1:22" ht="48" x14ac:dyDescent="0.25">
      <c r="A102" s="49" t="s">
        <v>1006</v>
      </c>
      <c r="B102" s="279" t="s">
        <v>524</v>
      </c>
      <c r="C102" s="23" t="s">
        <v>67</v>
      </c>
      <c r="D102" s="10" t="s">
        <v>1590</v>
      </c>
      <c r="E102" s="10" t="s">
        <v>1591</v>
      </c>
      <c r="F102" s="9" t="s">
        <v>1446</v>
      </c>
      <c r="G102" s="10" t="s">
        <v>1238</v>
      </c>
      <c r="H102" s="24" t="s">
        <v>1586</v>
      </c>
      <c r="I102" s="208"/>
      <c r="J102" s="10"/>
      <c r="K102" s="258" t="s">
        <v>1057</v>
      </c>
      <c r="L102" s="258" t="s">
        <v>39</v>
      </c>
      <c r="M102" s="59">
        <v>0.7</v>
      </c>
      <c r="N102" s="25"/>
      <c r="O102" s="25"/>
      <c r="P102" s="24"/>
      <c r="Q102" s="25"/>
      <c r="R102" s="25"/>
      <c r="S102" s="24"/>
      <c r="T102" s="25"/>
      <c r="U102" s="25"/>
      <c r="V102" s="25"/>
    </row>
    <row r="103" spans="1:22" ht="60" x14ac:dyDescent="0.25">
      <c r="A103" s="49" t="s">
        <v>1007</v>
      </c>
      <c r="B103" s="279" t="s">
        <v>525</v>
      </c>
      <c r="C103" s="23" t="s">
        <v>22</v>
      </c>
      <c r="D103" s="13" t="s">
        <v>1443</v>
      </c>
      <c r="E103" s="13" t="s">
        <v>1591</v>
      </c>
      <c r="F103" s="13" t="s">
        <v>1455</v>
      </c>
      <c r="G103" s="10" t="s">
        <v>1238</v>
      </c>
      <c r="H103" s="13" t="s">
        <v>1586</v>
      </c>
      <c r="I103" s="10" t="s">
        <v>858</v>
      </c>
      <c r="J103" s="10"/>
      <c r="K103" s="258" t="s">
        <v>1057</v>
      </c>
      <c r="L103" s="258" t="s">
        <v>39</v>
      </c>
      <c r="M103" s="259">
        <v>2.87</v>
      </c>
      <c r="N103" s="25"/>
      <c r="O103" s="25"/>
      <c r="P103" s="24"/>
      <c r="Q103" s="25"/>
      <c r="R103" s="25"/>
      <c r="S103" s="24"/>
      <c r="T103" s="25"/>
      <c r="U103" s="25"/>
      <c r="V103" s="25"/>
    </row>
    <row r="104" spans="1:22" ht="48" x14ac:dyDescent="0.25">
      <c r="A104" s="49" t="s">
        <v>1008</v>
      </c>
      <c r="B104" s="279" t="s">
        <v>526</v>
      </c>
      <c r="C104" s="23" t="s">
        <v>1403</v>
      </c>
      <c r="D104" s="10" t="s">
        <v>850</v>
      </c>
      <c r="E104" s="10" t="s">
        <v>1591</v>
      </c>
      <c r="F104" s="10" t="s">
        <v>1400</v>
      </c>
      <c r="G104" s="9" t="s">
        <v>1238</v>
      </c>
      <c r="H104" s="24" t="s">
        <v>1586</v>
      </c>
      <c r="I104" s="10" t="s">
        <v>1582</v>
      </c>
      <c r="J104" s="10"/>
      <c r="K104" s="25" t="s">
        <v>1057</v>
      </c>
      <c r="L104" s="258" t="s">
        <v>39</v>
      </c>
      <c r="M104" s="259">
        <v>4.26</v>
      </c>
      <c r="N104" s="25"/>
      <c r="O104" s="25"/>
      <c r="P104" s="24"/>
      <c r="Q104" s="25"/>
      <c r="R104" s="25"/>
      <c r="S104" s="24"/>
      <c r="T104" s="25"/>
      <c r="U104" s="25"/>
      <c r="V104" s="25"/>
    </row>
    <row r="105" spans="1:22" ht="36" x14ac:dyDescent="0.25">
      <c r="A105" s="49" t="s">
        <v>1009</v>
      </c>
      <c r="B105" s="279" t="s">
        <v>527</v>
      </c>
      <c r="C105" s="23" t="s">
        <v>437</v>
      </c>
      <c r="D105" s="10" t="s">
        <v>850</v>
      </c>
      <c r="E105" s="10" t="s">
        <v>1591</v>
      </c>
      <c r="F105" s="10" t="s">
        <v>1400</v>
      </c>
      <c r="G105" s="9" t="s">
        <v>1238</v>
      </c>
      <c r="H105" s="24" t="s">
        <v>1586</v>
      </c>
      <c r="I105" s="10" t="s">
        <v>1582</v>
      </c>
      <c r="J105" s="10"/>
      <c r="K105" s="25" t="s">
        <v>1057</v>
      </c>
      <c r="L105" s="258" t="s">
        <v>39</v>
      </c>
      <c r="M105" s="259">
        <v>6.14</v>
      </c>
      <c r="N105" s="25"/>
      <c r="O105" s="25"/>
      <c r="P105" s="24"/>
      <c r="Q105" s="25"/>
      <c r="R105" s="25"/>
      <c r="S105" s="24"/>
      <c r="T105" s="25"/>
      <c r="U105" s="25"/>
      <c r="V105" s="25"/>
    </row>
    <row r="106" spans="1:22" ht="36" x14ac:dyDescent="0.25">
      <c r="A106" s="49" t="s">
        <v>1010</v>
      </c>
      <c r="B106" s="279" t="s">
        <v>528</v>
      </c>
      <c r="C106" s="23" t="s">
        <v>1486</v>
      </c>
      <c r="D106" s="10" t="s">
        <v>1145</v>
      </c>
      <c r="E106" s="10" t="s">
        <v>1591</v>
      </c>
      <c r="F106" s="10" t="s">
        <v>1147</v>
      </c>
      <c r="G106" s="9" t="s">
        <v>1238</v>
      </c>
      <c r="H106" s="10" t="s">
        <v>1586</v>
      </c>
      <c r="I106" s="10"/>
      <c r="J106" s="10"/>
      <c r="K106" s="258" t="s">
        <v>1057</v>
      </c>
      <c r="L106" s="258" t="s">
        <v>39</v>
      </c>
      <c r="M106" s="259">
        <v>0.4</v>
      </c>
      <c r="N106" s="25"/>
      <c r="O106" s="25"/>
      <c r="P106" s="24"/>
      <c r="Q106" s="25"/>
      <c r="R106" s="25"/>
      <c r="S106" s="24"/>
      <c r="T106" s="25"/>
      <c r="U106" s="25"/>
      <c r="V106" s="25"/>
    </row>
    <row r="107" spans="1:22" ht="36" x14ac:dyDescent="0.25">
      <c r="A107" s="49" t="s">
        <v>1011</v>
      </c>
      <c r="B107" s="279" t="s">
        <v>529</v>
      </c>
      <c r="C107" s="23" t="s">
        <v>55</v>
      </c>
      <c r="D107" s="10" t="s">
        <v>1580</v>
      </c>
      <c r="E107" s="10" t="s">
        <v>1591</v>
      </c>
      <c r="F107" s="10" t="s">
        <v>1456</v>
      </c>
      <c r="G107" s="9" t="s">
        <v>1238</v>
      </c>
      <c r="H107" s="10" t="s">
        <v>1586</v>
      </c>
      <c r="I107" s="10"/>
      <c r="J107" s="10" t="s">
        <v>797</v>
      </c>
      <c r="K107" s="25" t="s">
        <v>1057</v>
      </c>
      <c r="L107" s="258" t="s">
        <v>39</v>
      </c>
      <c r="M107" s="259">
        <v>1.67</v>
      </c>
      <c r="N107" s="25"/>
      <c r="O107" s="25"/>
      <c r="P107" s="24"/>
      <c r="Q107" s="25"/>
      <c r="R107" s="25"/>
      <c r="S107" s="24"/>
      <c r="T107" s="25"/>
      <c r="U107" s="25"/>
      <c r="V107" s="25"/>
    </row>
    <row r="108" spans="1:22" ht="36" x14ac:dyDescent="0.25">
      <c r="A108" s="49" t="s">
        <v>1146</v>
      </c>
      <c r="B108" s="279" t="s">
        <v>530</v>
      </c>
      <c r="C108" s="23" t="s">
        <v>60</v>
      </c>
      <c r="D108" s="10" t="s">
        <v>1589</v>
      </c>
      <c r="E108" s="10" t="s">
        <v>1591</v>
      </c>
      <c r="F108" s="10" t="s">
        <v>1441</v>
      </c>
      <c r="G108" s="9" t="s">
        <v>1238</v>
      </c>
      <c r="H108" s="10" t="s">
        <v>1586</v>
      </c>
      <c r="I108" s="10"/>
      <c r="J108" s="10"/>
      <c r="K108" s="25" t="s">
        <v>1057</v>
      </c>
      <c r="L108" s="258" t="s">
        <v>39</v>
      </c>
      <c r="M108" s="259">
        <v>2</v>
      </c>
      <c r="N108" s="25"/>
      <c r="O108" s="25"/>
      <c r="P108" s="24"/>
      <c r="Q108" s="25"/>
      <c r="R108" s="25"/>
      <c r="S108" s="24"/>
      <c r="T108" s="25"/>
      <c r="U108" s="25"/>
      <c r="V108" s="25"/>
    </row>
    <row r="109" spans="1:22" ht="60" x14ac:dyDescent="0.25">
      <c r="A109" s="434" t="s">
        <v>963</v>
      </c>
      <c r="B109" s="438"/>
      <c r="C109" s="434" t="s">
        <v>1601</v>
      </c>
      <c r="D109" s="463" t="s">
        <v>1550</v>
      </c>
      <c r="E109" s="463" t="s">
        <v>1550</v>
      </c>
      <c r="F109" s="463" t="s">
        <v>1550</v>
      </c>
      <c r="G109" s="463"/>
      <c r="H109" s="463" t="s">
        <v>1550</v>
      </c>
      <c r="I109" s="463" t="s">
        <v>1550</v>
      </c>
      <c r="J109" s="463" t="s">
        <v>1550</v>
      </c>
      <c r="K109" s="460"/>
      <c r="L109" s="460"/>
      <c r="M109" s="461"/>
      <c r="N109" s="462"/>
      <c r="O109" s="460"/>
      <c r="P109" s="462"/>
      <c r="Q109" s="460"/>
      <c r="R109" s="460"/>
      <c r="S109" s="462"/>
      <c r="T109" s="460"/>
      <c r="U109" s="460"/>
      <c r="V109" s="460"/>
    </row>
    <row r="110" spans="1:22" ht="36" x14ac:dyDescent="0.25">
      <c r="A110" s="49" t="s">
        <v>1012</v>
      </c>
      <c r="B110" s="279" t="s">
        <v>531</v>
      </c>
      <c r="C110" s="49" t="s">
        <v>1577</v>
      </c>
      <c r="D110" s="9" t="s">
        <v>1587</v>
      </c>
      <c r="E110" s="9" t="s">
        <v>1591</v>
      </c>
      <c r="F110" s="9" t="s">
        <v>1454</v>
      </c>
      <c r="G110" s="9" t="s">
        <v>45</v>
      </c>
      <c r="H110" s="9" t="s">
        <v>1586</v>
      </c>
      <c r="I110" s="9" t="s">
        <v>1582</v>
      </c>
      <c r="J110" s="9"/>
      <c r="K110" s="49" t="s">
        <v>1061</v>
      </c>
      <c r="L110" s="49" t="s">
        <v>1062</v>
      </c>
      <c r="M110" s="59">
        <v>4</v>
      </c>
      <c r="N110" s="24"/>
      <c r="O110" s="25"/>
      <c r="P110" s="24"/>
      <c r="Q110" s="25"/>
      <c r="R110" s="25"/>
      <c r="S110" s="24"/>
      <c r="T110" s="25"/>
      <c r="U110" s="25"/>
      <c r="V110" s="25"/>
    </row>
    <row r="111" spans="1:22" ht="36" x14ac:dyDescent="0.25">
      <c r="A111" s="39" t="s">
        <v>1013</v>
      </c>
      <c r="B111" s="279" t="s">
        <v>532</v>
      </c>
      <c r="C111" s="30" t="s">
        <v>1705</v>
      </c>
      <c r="D111" s="14" t="s">
        <v>1589</v>
      </c>
      <c r="E111" s="90" t="s">
        <v>1591</v>
      </c>
      <c r="F111" s="90" t="s">
        <v>1441</v>
      </c>
      <c r="G111" s="90" t="s">
        <v>45</v>
      </c>
      <c r="H111" s="90" t="s">
        <v>1586</v>
      </c>
      <c r="I111" s="9"/>
      <c r="J111" s="9"/>
      <c r="K111" s="258" t="s">
        <v>1061</v>
      </c>
      <c r="L111" s="258" t="s">
        <v>1062</v>
      </c>
      <c r="M111" s="259">
        <v>2</v>
      </c>
      <c r="N111" s="282"/>
      <c r="O111" s="290"/>
      <c r="P111" s="24"/>
      <c r="Q111" s="25"/>
      <c r="R111" s="25"/>
      <c r="S111" s="24"/>
      <c r="T111" s="25"/>
      <c r="U111" s="25"/>
      <c r="V111" s="25"/>
    </row>
    <row r="112" spans="1:22" ht="60" x14ac:dyDescent="0.25">
      <c r="A112" s="79" t="s">
        <v>1617</v>
      </c>
      <c r="B112" s="203"/>
      <c r="C112" s="41" t="s">
        <v>1620</v>
      </c>
      <c r="D112" s="101"/>
      <c r="E112" s="101"/>
      <c r="F112" s="101"/>
      <c r="G112" s="101"/>
      <c r="H112" s="101"/>
      <c r="I112" s="101"/>
      <c r="J112" s="101"/>
      <c r="K112" s="103"/>
      <c r="L112" s="103"/>
      <c r="M112" s="256"/>
      <c r="N112" s="102"/>
      <c r="O112" s="103"/>
      <c r="P112" s="102"/>
      <c r="Q112" s="103"/>
      <c r="R112" s="103"/>
      <c r="S112" s="102"/>
      <c r="T112" s="103"/>
      <c r="U112" s="103"/>
      <c r="V112" s="103"/>
    </row>
    <row r="113" spans="1:22" ht="84" x14ac:dyDescent="0.25">
      <c r="A113" s="43" t="s">
        <v>1618</v>
      </c>
      <c r="B113" s="191"/>
      <c r="C113" s="42" t="s">
        <v>1621</v>
      </c>
      <c r="D113" s="104"/>
      <c r="E113" s="104"/>
      <c r="F113" s="104"/>
      <c r="G113" s="104"/>
      <c r="H113" s="104"/>
      <c r="I113" s="104"/>
      <c r="J113" s="104"/>
      <c r="K113" s="106"/>
      <c r="L113" s="106"/>
      <c r="M113" s="257"/>
      <c r="N113" s="105"/>
      <c r="O113" s="106"/>
      <c r="P113" s="105"/>
      <c r="Q113" s="106"/>
      <c r="R113" s="106"/>
      <c r="S113" s="105"/>
      <c r="T113" s="106"/>
      <c r="U113" s="106"/>
      <c r="V113" s="106"/>
    </row>
    <row r="114" spans="1:22" ht="36" x14ac:dyDescent="0.25">
      <c r="A114" s="428" t="s">
        <v>222</v>
      </c>
      <c r="B114" s="436"/>
      <c r="C114" s="428" t="s">
        <v>226</v>
      </c>
      <c r="D114" s="463"/>
      <c r="E114" s="463"/>
      <c r="F114" s="463"/>
      <c r="G114" s="463"/>
      <c r="H114" s="463"/>
      <c r="I114" s="463"/>
      <c r="J114" s="463"/>
      <c r="K114" s="460"/>
      <c r="L114" s="460"/>
      <c r="M114" s="461"/>
      <c r="N114" s="462"/>
      <c r="O114" s="460"/>
      <c r="P114" s="462"/>
      <c r="Q114" s="460"/>
      <c r="R114" s="460"/>
      <c r="S114" s="462"/>
      <c r="T114" s="460"/>
      <c r="U114" s="460"/>
      <c r="V114" s="460"/>
    </row>
    <row r="115" spans="1:22" ht="72" x14ac:dyDescent="0.25">
      <c r="A115" s="23" t="s">
        <v>390</v>
      </c>
      <c r="B115" s="279" t="s">
        <v>533</v>
      </c>
      <c r="C115" s="23" t="s">
        <v>391</v>
      </c>
      <c r="D115" s="10" t="s">
        <v>1590</v>
      </c>
      <c r="E115" s="10" t="s">
        <v>1588</v>
      </c>
      <c r="F115" s="10" t="s">
        <v>1446</v>
      </c>
      <c r="G115" s="11" t="s">
        <v>34</v>
      </c>
      <c r="H115" s="24" t="s">
        <v>1586</v>
      </c>
      <c r="I115" s="10"/>
      <c r="J115" s="10"/>
      <c r="K115" s="258" t="s">
        <v>1068</v>
      </c>
      <c r="L115" s="258" t="s">
        <v>1069</v>
      </c>
      <c r="M115" s="59">
        <v>1</v>
      </c>
      <c r="N115" s="24" t="s">
        <v>50</v>
      </c>
      <c r="O115" s="258" t="s">
        <v>1024</v>
      </c>
      <c r="P115" s="24">
        <v>2000</v>
      </c>
      <c r="Q115" s="25"/>
      <c r="R115" s="25"/>
      <c r="S115" s="24"/>
      <c r="T115" s="25"/>
      <c r="U115" s="25"/>
      <c r="V115" s="25"/>
    </row>
    <row r="116" spans="1:22" ht="48" x14ac:dyDescent="0.25">
      <c r="A116" s="23" t="s">
        <v>871</v>
      </c>
      <c r="B116" s="279" t="s">
        <v>534</v>
      </c>
      <c r="C116" s="23" t="s">
        <v>89</v>
      </c>
      <c r="D116" s="10" t="s">
        <v>853</v>
      </c>
      <c r="E116" s="24" t="s">
        <v>776</v>
      </c>
      <c r="F116" s="10" t="s">
        <v>1400</v>
      </c>
      <c r="G116" s="9" t="s">
        <v>90</v>
      </c>
      <c r="H116" s="24" t="s">
        <v>1592</v>
      </c>
      <c r="I116" s="10" t="s">
        <v>1582</v>
      </c>
      <c r="J116" s="10"/>
      <c r="K116" s="25" t="s">
        <v>1068</v>
      </c>
      <c r="L116" s="23" t="s">
        <v>1159</v>
      </c>
      <c r="M116" s="259">
        <v>1</v>
      </c>
      <c r="N116" s="24"/>
      <c r="O116" s="25"/>
      <c r="P116" s="24"/>
      <c r="Q116" s="25"/>
      <c r="R116" s="25"/>
      <c r="S116" s="24"/>
      <c r="T116" s="25"/>
      <c r="U116" s="25"/>
      <c r="V116" s="25"/>
    </row>
    <row r="117" spans="1:22" ht="72" x14ac:dyDescent="0.25">
      <c r="A117" s="23" t="s">
        <v>872</v>
      </c>
      <c r="B117" s="279" t="s">
        <v>535</v>
      </c>
      <c r="C117" s="23" t="s">
        <v>854</v>
      </c>
      <c r="D117" s="10" t="s">
        <v>869</v>
      </c>
      <c r="E117" s="10" t="s">
        <v>1588</v>
      </c>
      <c r="F117" s="10" t="s">
        <v>1400</v>
      </c>
      <c r="G117" s="10" t="s">
        <v>34</v>
      </c>
      <c r="H117" s="24" t="s">
        <v>1586</v>
      </c>
      <c r="I117" s="10" t="s">
        <v>1582</v>
      </c>
      <c r="J117" s="10"/>
      <c r="K117" s="25" t="s">
        <v>1068</v>
      </c>
      <c r="L117" s="23" t="s">
        <v>1159</v>
      </c>
      <c r="M117" s="259">
        <v>1</v>
      </c>
      <c r="N117" s="258" t="s">
        <v>1023</v>
      </c>
      <c r="O117" s="258" t="s">
        <v>1024</v>
      </c>
      <c r="P117" s="24">
        <v>3400</v>
      </c>
      <c r="Q117" s="25"/>
      <c r="R117" s="25"/>
      <c r="S117" s="24"/>
      <c r="T117" s="25"/>
      <c r="U117" s="25"/>
      <c r="V117" s="25"/>
    </row>
    <row r="118" spans="1:22" ht="72" x14ac:dyDescent="0.25">
      <c r="A118" s="23" t="s">
        <v>873</v>
      </c>
      <c r="B118" s="279" t="s">
        <v>536</v>
      </c>
      <c r="C118" s="23" t="s">
        <v>1190</v>
      </c>
      <c r="D118" s="10" t="s">
        <v>1191</v>
      </c>
      <c r="E118" s="10" t="s">
        <v>1588</v>
      </c>
      <c r="F118" s="10" t="s">
        <v>1400</v>
      </c>
      <c r="G118" s="10" t="s">
        <v>34</v>
      </c>
      <c r="H118" s="24" t="s">
        <v>1586</v>
      </c>
      <c r="I118" s="10" t="s">
        <v>1582</v>
      </c>
      <c r="J118" s="10"/>
      <c r="K118" s="25" t="s">
        <v>1068</v>
      </c>
      <c r="L118" s="23" t="s">
        <v>1159</v>
      </c>
      <c r="M118" s="259">
        <v>1</v>
      </c>
      <c r="N118" s="258" t="s">
        <v>1023</v>
      </c>
      <c r="O118" s="258" t="s">
        <v>1024</v>
      </c>
      <c r="P118" s="24">
        <v>1200</v>
      </c>
      <c r="Q118" s="25"/>
      <c r="R118" s="25"/>
      <c r="S118" s="24"/>
      <c r="T118" s="25"/>
      <c r="U118" s="25"/>
      <c r="V118" s="25"/>
    </row>
    <row r="119" spans="1:22" ht="60" x14ac:dyDescent="0.25">
      <c r="A119" s="23" t="s">
        <v>874</v>
      </c>
      <c r="B119" s="279" t="s">
        <v>537</v>
      </c>
      <c r="C119" s="23" t="s">
        <v>855</v>
      </c>
      <c r="D119" s="10" t="s">
        <v>1192</v>
      </c>
      <c r="E119" s="10" t="s">
        <v>1588</v>
      </c>
      <c r="F119" s="10" t="s">
        <v>1400</v>
      </c>
      <c r="G119" s="9" t="s">
        <v>1405</v>
      </c>
      <c r="H119" s="24" t="s">
        <v>1586</v>
      </c>
      <c r="I119" s="10" t="s">
        <v>1582</v>
      </c>
      <c r="J119" s="10"/>
      <c r="K119" s="25" t="s">
        <v>1045</v>
      </c>
      <c r="L119" s="23" t="s">
        <v>1160</v>
      </c>
      <c r="M119" s="259">
        <v>1</v>
      </c>
      <c r="N119" s="24"/>
      <c r="O119" s="25"/>
      <c r="P119" s="24"/>
      <c r="Q119" s="25"/>
      <c r="R119" s="25"/>
      <c r="S119" s="24"/>
      <c r="T119" s="25"/>
      <c r="U119" s="25"/>
      <c r="V119" s="25"/>
    </row>
    <row r="120" spans="1:22" ht="60" x14ac:dyDescent="0.25">
      <c r="A120" s="23" t="s">
        <v>875</v>
      </c>
      <c r="B120" s="279" t="s">
        <v>538</v>
      </c>
      <c r="C120" s="23" t="s">
        <v>338</v>
      </c>
      <c r="D120" s="10" t="s">
        <v>856</v>
      </c>
      <c r="E120" s="10" t="s">
        <v>1588</v>
      </c>
      <c r="F120" s="10" t="s">
        <v>1400</v>
      </c>
      <c r="G120" s="9" t="s">
        <v>1405</v>
      </c>
      <c r="H120" s="24" t="s">
        <v>1586</v>
      </c>
      <c r="I120" s="10" t="s">
        <v>1582</v>
      </c>
      <c r="J120" s="10"/>
      <c r="K120" s="25" t="s">
        <v>1045</v>
      </c>
      <c r="L120" s="23" t="s">
        <v>1160</v>
      </c>
      <c r="M120" s="259">
        <v>1</v>
      </c>
      <c r="N120" s="24"/>
      <c r="O120" s="25"/>
      <c r="P120" s="24"/>
      <c r="Q120" s="25"/>
      <c r="R120" s="25"/>
      <c r="S120" s="24"/>
      <c r="T120" s="25"/>
      <c r="U120" s="25"/>
      <c r="V120" s="25"/>
    </row>
    <row r="121" spans="1:22" ht="36" x14ac:dyDescent="0.25">
      <c r="A121" s="23" t="s">
        <v>876</v>
      </c>
      <c r="B121" s="279" t="s">
        <v>539</v>
      </c>
      <c r="C121" s="23" t="s">
        <v>1193</v>
      </c>
      <c r="D121" s="10" t="s">
        <v>850</v>
      </c>
      <c r="E121" s="10" t="s">
        <v>1585</v>
      </c>
      <c r="F121" s="10" t="s">
        <v>1400</v>
      </c>
      <c r="G121" s="9" t="s">
        <v>1401</v>
      </c>
      <c r="H121" s="24" t="s">
        <v>1586</v>
      </c>
      <c r="I121" s="10" t="s">
        <v>1582</v>
      </c>
      <c r="J121" s="10"/>
      <c r="K121" s="25" t="s">
        <v>1029</v>
      </c>
      <c r="L121" s="23" t="s">
        <v>3</v>
      </c>
      <c r="M121" s="259">
        <v>10000</v>
      </c>
      <c r="N121" s="24"/>
      <c r="O121" s="25"/>
      <c r="P121" s="24"/>
      <c r="Q121" s="25"/>
      <c r="R121" s="25"/>
      <c r="S121" s="24"/>
      <c r="T121" s="25"/>
      <c r="U121" s="25"/>
      <c r="V121" s="25"/>
    </row>
    <row r="122" spans="1:22" ht="36" x14ac:dyDescent="0.25">
      <c r="A122" s="23" t="s">
        <v>877</v>
      </c>
      <c r="B122" s="279" t="s">
        <v>540</v>
      </c>
      <c r="C122" s="23" t="s">
        <v>1194</v>
      </c>
      <c r="D122" s="10" t="s">
        <v>850</v>
      </c>
      <c r="E122" s="10" t="s">
        <v>1585</v>
      </c>
      <c r="F122" s="10" t="s">
        <v>1400</v>
      </c>
      <c r="G122" s="9" t="s">
        <v>1401</v>
      </c>
      <c r="H122" s="24" t="s">
        <v>1586</v>
      </c>
      <c r="I122" s="10" t="s">
        <v>1582</v>
      </c>
      <c r="J122" s="10"/>
      <c r="K122" s="25" t="s">
        <v>1029</v>
      </c>
      <c r="L122" s="23" t="s">
        <v>1</v>
      </c>
      <c r="M122" s="259">
        <v>10000</v>
      </c>
      <c r="N122" s="24"/>
      <c r="O122" s="25"/>
      <c r="P122" s="24"/>
      <c r="Q122" s="25"/>
      <c r="R122" s="25"/>
      <c r="S122" s="24"/>
      <c r="T122" s="25"/>
      <c r="U122" s="25"/>
      <c r="V122" s="25"/>
    </row>
    <row r="123" spans="1:22" ht="84" x14ac:dyDescent="0.25">
      <c r="A123" s="23" t="s">
        <v>878</v>
      </c>
      <c r="B123" s="279" t="s">
        <v>541</v>
      </c>
      <c r="C123" s="23" t="s">
        <v>174</v>
      </c>
      <c r="D123" s="10" t="s">
        <v>850</v>
      </c>
      <c r="E123" s="10" t="s">
        <v>1585</v>
      </c>
      <c r="F123" s="10" t="s">
        <v>1400</v>
      </c>
      <c r="G123" s="9" t="s">
        <v>1401</v>
      </c>
      <c r="H123" s="24" t="s">
        <v>1586</v>
      </c>
      <c r="I123" s="10" t="s">
        <v>1582</v>
      </c>
      <c r="J123" s="10"/>
      <c r="K123" s="25" t="s">
        <v>1029</v>
      </c>
      <c r="L123" s="23" t="s">
        <v>1</v>
      </c>
      <c r="M123" s="259">
        <v>12000</v>
      </c>
      <c r="N123" s="24"/>
      <c r="O123" s="25"/>
      <c r="P123" s="24"/>
      <c r="Q123" s="25"/>
      <c r="R123" s="25"/>
      <c r="S123" s="24"/>
      <c r="T123" s="25"/>
      <c r="U123" s="25"/>
      <c r="V123" s="25"/>
    </row>
    <row r="124" spans="1:22" ht="72" x14ac:dyDescent="0.25">
      <c r="A124" s="23" t="s">
        <v>879</v>
      </c>
      <c r="B124" s="279" t="s">
        <v>542</v>
      </c>
      <c r="C124" s="23" t="s">
        <v>1149</v>
      </c>
      <c r="D124" s="10" t="s">
        <v>1145</v>
      </c>
      <c r="E124" s="10" t="s">
        <v>1588</v>
      </c>
      <c r="F124" s="10" t="s">
        <v>1147</v>
      </c>
      <c r="G124" s="11" t="s">
        <v>34</v>
      </c>
      <c r="H124" s="24" t="s">
        <v>1586</v>
      </c>
      <c r="I124" s="10"/>
      <c r="J124" s="10"/>
      <c r="K124" s="258" t="s">
        <v>1023</v>
      </c>
      <c r="L124" s="258" t="s">
        <v>1024</v>
      </c>
      <c r="M124" s="259">
        <v>350</v>
      </c>
      <c r="N124" s="25" t="s">
        <v>1068</v>
      </c>
      <c r="O124" s="258" t="s">
        <v>1069</v>
      </c>
      <c r="P124" s="24">
        <v>1</v>
      </c>
      <c r="Q124" s="25"/>
      <c r="R124" s="25"/>
      <c r="S124" s="24"/>
      <c r="T124" s="25"/>
      <c r="U124" s="25"/>
      <c r="V124" s="25"/>
    </row>
    <row r="125" spans="1:22" ht="72" x14ac:dyDescent="0.25">
      <c r="A125" s="23" t="s">
        <v>1148</v>
      </c>
      <c r="B125" s="279" t="s">
        <v>543</v>
      </c>
      <c r="C125" s="30" t="s">
        <v>33</v>
      </c>
      <c r="D125" s="10" t="s">
        <v>1580</v>
      </c>
      <c r="E125" s="10" t="s">
        <v>1588</v>
      </c>
      <c r="F125" s="10" t="s">
        <v>27</v>
      </c>
      <c r="G125" s="10" t="s">
        <v>34</v>
      </c>
      <c r="H125" s="10" t="s">
        <v>1586</v>
      </c>
      <c r="I125" s="10"/>
      <c r="J125" s="23"/>
      <c r="K125" s="258" t="s">
        <v>1023</v>
      </c>
      <c r="L125" s="258" t="s">
        <v>1024</v>
      </c>
      <c r="M125" s="59">
        <v>200</v>
      </c>
      <c r="N125" s="25" t="s">
        <v>1068</v>
      </c>
      <c r="O125" s="23" t="s">
        <v>1159</v>
      </c>
      <c r="P125" s="259">
        <v>1</v>
      </c>
      <c r="Q125" s="25"/>
      <c r="R125" s="25"/>
      <c r="S125" s="24"/>
      <c r="T125" s="25"/>
      <c r="U125" s="25"/>
      <c r="V125" s="25"/>
    </row>
    <row r="126" spans="1:22" ht="72" x14ac:dyDescent="0.25">
      <c r="A126" s="23" t="s">
        <v>1150</v>
      </c>
      <c r="B126" s="279" t="s">
        <v>544</v>
      </c>
      <c r="C126" s="39" t="s">
        <v>1396</v>
      </c>
      <c r="D126" s="8" t="s">
        <v>1397</v>
      </c>
      <c r="E126" s="8" t="s">
        <v>1588</v>
      </c>
      <c r="F126" s="9" t="s">
        <v>1455</v>
      </c>
      <c r="G126" s="9" t="s">
        <v>34</v>
      </c>
      <c r="H126" s="26" t="s">
        <v>1586</v>
      </c>
      <c r="I126" s="9"/>
      <c r="J126" s="9"/>
      <c r="K126" s="49" t="s">
        <v>50</v>
      </c>
      <c r="L126" s="49" t="s">
        <v>1398</v>
      </c>
      <c r="M126" s="59">
        <v>2000</v>
      </c>
      <c r="N126" s="49" t="s">
        <v>1399</v>
      </c>
      <c r="O126" s="49" t="s">
        <v>1069</v>
      </c>
      <c r="P126" s="56">
        <v>1</v>
      </c>
      <c r="Q126" s="266"/>
      <c r="R126" s="266"/>
      <c r="S126" s="267"/>
      <c r="T126" s="268"/>
      <c r="U126" s="268"/>
      <c r="V126" s="268"/>
    </row>
    <row r="127" spans="1:22" ht="72" x14ac:dyDescent="0.25">
      <c r="A127" s="23" t="s">
        <v>64</v>
      </c>
      <c r="B127" s="279" t="s">
        <v>545</v>
      </c>
      <c r="C127" s="39" t="s">
        <v>1684</v>
      </c>
      <c r="D127" s="8" t="s">
        <v>1589</v>
      </c>
      <c r="E127" s="8" t="s">
        <v>1588</v>
      </c>
      <c r="F127" s="9" t="s">
        <v>1441</v>
      </c>
      <c r="G127" s="9" t="s">
        <v>34</v>
      </c>
      <c r="H127" s="26" t="s">
        <v>1586</v>
      </c>
      <c r="I127" s="9"/>
      <c r="J127" s="9"/>
      <c r="K127" s="49" t="s">
        <v>116</v>
      </c>
      <c r="L127" s="49" t="s">
        <v>1069</v>
      </c>
      <c r="M127" s="59">
        <v>1</v>
      </c>
      <c r="N127" s="49" t="s">
        <v>50</v>
      </c>
      <c r="O127" s="49" t="s">
        <v>1398</v>
      </c>
      <c r="P127" s="59">
        <v>800</v>
      </c>
      <c r="Q127" s="266"/>
      <c r="R127" s="266"/>
      <c r="S127" s="267"/>
      <c r="T127" s="268"/>
      <c r="U127" s="268"/>
      <c r="V127" s="268"/>
    </row>
    <row r="128" spans="1:22" ht="36" x14ac:dyDescent="0.25">
      <c r="A128" s="428" t="s">
        <v>223</v>
      </c>
      <c r="B128" s="436"/>
      <c r="C128" s="428" t="s">
        <v>227</v>
      </c>
      <c r="D128" s="463"/>
      <c r="E128" s="463"/>
      <c r="F128" s="463"/>
      <c r="G128" s="463"/>
      <c r="H128" s="463"/>
      <c r="I128" s="463"/>
      <c r="J128" s="463"/>
      <c r="K128" s="460"/>
      <c r="L128" s="460"/>
      <c r="M128" s="461"/>
      <c r="N128" s="462"/>
      <c r="O128" s="460"/>
      <c r="P128" s="462"/>
      <c r="Q128" s="460"/>
      <c r="R128" s="460"/>
      <c r="S128" s="462"/>
      <c r="T128" s="460"/>
      <c r="U128" s="460"/>
      <c r="V128" s="460"/>
    </row>
    <row r="129" spans="1:22" ht="60" x14ac:dyDescent="0.25">
      <c r="A129" s="428" t="s">
        <v>224</v>
      </c>
      <c r="B129" s="436"/>
      <c r="C129" s="428" t="s">
        <v>228</v>
      </c>
      <c r="D129" s="463"/>
      <c r="E129" s="463"/>
      <c r="F129" s="463"/>
      <c r="G129" s="463"/>
      <c r="H129" s="463"/>
      <c r="I129" s="463"/>
      <c r="J129" s="463"/>
      <c r="K129" s="460"/>
      <c r="L129" s="460"/>
      <c r="M129" s="461"/>
      <c r="N129" s="462"/>
      <c r="O129" s="460"/>
      <c r="P129" s="462"/>
      <c r="Q129" s="460"/>
      <c r="R129" s="460"/>
      <c r="S129" s="462"/>
      <c r="T129" s="460"/>
      <c r="U129" s="460"/>
      <c r="V129" s="460"/>
    </row>
    <row r="130" spans="1:22" ht="72" x14ac:dyDescent="0.25">
      <c r="A130" s="428" t="s">
        <v>225</v>
      </c>
      <c r="B130" s="436"/>
      <c r="C130" s="428" t="s">
        <v>229</v>
      </c>
      <c r="D130" s="463"/>
      <c r="E130" s="463"/>
      <c r="F130" s="463"/>
      <c r="G130" s="463"/>
      <c r="H130" s="463"/>
      <c r="I130" s="463"/>
      <c r="J130" s="463"/>
      <c r="K130" s="460"/>
      <c r="L130" s="460"/>
      <c r="M130" s="461"/>
      <c r="N130" s="462"/>
      <c r="O130" s="460"/>
      <c r="P130" s="462"/>
      <c r="Q130" s="460"/>
      <c r="R130" s="460"/>
      <c r="S130" s="462"/>
      <c r="T130" s="460"/>
      <c r="U130" s="460"/>
      <c r="V130" s="460"/>
    </row>
    <row r="131" spans="1:22" ht="36" x14ac:dyDescent="0.25">
      <c r="A131" s="55" t="s">
        <v>813</v>
      </c>
      <c r="B131" s="279" t="s">
        <v>546</v>
      </c>
      <c r="C131" s="23" t="s">
        <v>857</v>
      </c>
      <c r="D131" s="10" t="s">
        <v>850</v>
      </c>
      <c r="E131" s="10" t="s">
        <v>1585</v>
      </c>
      <c r="F131" s="10" t="s">
        <v>1400</v>
      </c>
      <c r="G131" s="8" t="s">
        <v>1401</v>
      </c>
      <c r="H131" s="24" t="s">
        <v>1586</v>
      </c>
      <c r="I131" s="10" t="s">
        <v>1582</v>
      </c>
      <c r="J131" s="10"/>
      <c r="K131" s="25" t="s">
        <v>1031</v>
      </c>
      <c r="L131" s="23" t="s">
        <v>4</v>
      </c>
      <c r="M131" s="259">
        <v>5726</v>
      </c>
      <c r="N131" s="24"/>
      <c r="O131" s="25"/>
      <c r="P131" s="24"/>
      <c r="Q131" s="25"/>
      <c r="R131" s="25"/>
      <c r="S131" s="24"/>
      <c r="T131" s="25"/>
      <c r="U131" s="25"/>
      <c r="V131" s="25"/>
    </row>
    <row r="132" spans="1:22" ht="48" x14ac:dyDescent="0.25">
      <c r="A132" s="55" t="s">
        <v>880</v>
      </c>
      <c r="B132" s="279" t="s">
        <v>547</v>
      </c>
      <c r="C132" s="23" t="s">
        <v>1195</v>
      </c>
      <c r="D132" s="10" t="s">
        <v>850</v>
      </c>
      <c r="E132" s="10" t="s">
        <v>1585</v>
      </c>
      <c r="F132" s="10" t="s">
        <v>1400</v>
      </c>
      <c r="G132" s="8" t="s">
        <v>1401</v>
      </c>
      <c r="H132" s="24" t="s">
        <v>1586</v>
      </c>
      <c r="I132" s="10" t="s">
        <v>1582</v>
      </c>
      <c r="J132" s="10"/>
      <c r="K132" s="25" t="s">
        <v>1029</v>
      </c>
      <c r="L132" s="23" t="s">
        <v>1</v>
      </c>
      <c r="M132" s="259">
        <v>211000</v>
      </c>
      <c r="N132" s="24"/>
      <c r="O132" s="25"/>
      <c r="P132" s="24"/>
      <c r="Q132" s="25"/>
      <c r="R132" s="25"/>
      <c r="S132" s="24"/>
      <c r="T132" s="25"/>
      <c r="U132" s="25"/>
      <c r="V132" s="25"/>
    </row>
    <row r="133" spans="1:22" ht="60" x14ac:dyDescent="0.25">
      <c r="A133" s="55" t="s">
        <v>881</v>
      </c>
      <c r="B133" s="279" t="s">
        <v>548</v>
      </c>
      <c r="C133" s="23" t="s">
        <v>1196</v>
      </c>
      <c r="D133" s="10" t="s">
        <v>850</v>
      </c>
      <c r="E133" s="10" t="s">
        <v>1585</v>
      </c>
      <c r="F133" s="10" t="s">
        <v>1400</v>
      </c>
      <c r="G133" s="8" t="s">
        <v>1401</v>
      </c>
      <c r="H133" s="24" t="s">
        <v>1586</v>
      </c>
      <c r="I133" s="10" t="s">
        <v>1582</v>
      </c>
      <c r="J133" s="10"/>
      <c r="K133" s="25" t="s">
        <v>1029</v>
      </c>
      <c r="L133" s="23" t="s">
        <v>1</v>
      </c>
      <c r="M133" s="259">
        <v>200000</v>
      </c>
      <c r="N133" s="24"/>
      <c r="O133" s="25"/>
      <c r="P133" s="24"/>
      <c r="Q133" s="25"/>
      <c r="R133" s="25"/>
      <c r="S133" s="24"/>
      <c r="T133" s="25"/>
      <c r="U133" s="25"/>
      <c r="V133" s="25"/>
    </row>
    <row r="134" spans="1:22" ht="72" x14ac:dyDescent="0.25">
      <c r="A134" s="55" t="s">
        <v>882</v>
      </c>
      <c r="B134" s="279" t="s">
        <v>549</v>
      </c>
      <c r="C134" s="23" t="s">
        <v>339</v>
      </c>
      <c r="D134" s="10" t="s">
        <v>850</v>
      </c>
      <c r="E134" s="10" t="s">
        <v>1585</v>
      </c>
      <c r="F134" s="10" t="s">
        <v>1400</v>
      </c>
      <c r="G134" s="8" t="s">
        <v>1401</v>
      </c>
      <c r="H134" s="24" t="s">
        <v>1586</v>
      </c>
      <c r="I134" s="10" t="s">
        <v>1582</v>
      </c>
      <c r="J134" s="10"/>
      <c r="K134" s="25" t="s">
        <v>1029</v>
      </c>
      <c r="L134" s="23" t="s">
        <v>1</v>
      </c>
      <c r="M134" s="259">
        <v>75829</v>
      </c>
      <c r="N134" s="24"/>
      <c r="O134" s="25"/>
      <c r="P134" s="24"/>
      <c r="Q134" s="25"/>
      <c r="R134" s="25"/>
      <c r="S134" s="24"/>
      <c r="T134" s="25"/>
      <c r="U134" s="25"/>
      <c r="V134" s="25"/>
    </row>
    <row r="135" spans="1:22" ht="48" x14ac:dyDescent="0.25">
      <c r="A135" s="43" t="s">
        <v>1619</v>
      </c>
      <c r="B135" s="44"/>
      <c r="C135" s="43" t="s">
        <v>1622</v>
      </c>
      <c r="D135" s="104"/>
      <c r="E135" s="104"/>
      <c r="F135" s="104"/>
      <c r="G135" s="104"/>
      <c r="H135" s="104"/>
      <c r="I135" s="104"/>
      <c r="J135" s="104"/>
      <c r="K135" s="106"/>
      <c r="L135" s="106"/>
      <c r="M135" s="257"/>
      <c r="N135" s="105"/>
      <c r="O135" s="106"/>
      <c r="P135" s="105"/>
      <c r="Q135" s="106"/>
      <c r="R135" s="106"/>
      <c r="S135" s="105"/>
      <c r="T135" s="106"/>
      <c r="U135" s="106"/>
      <c r="V135" s="106"/>
    </row>
    <row r="136" spans="1:22" ht="36" x14ac:dyDescent="0.25">
      <c r="A136" s="440" t="s">
        <v>230</v>
      </c>
      <c r="B136" s="436"/>
      <c r="C136" s="428" t="s">
        <v>231</v>
      </c>
      <c r="D136" s="463"/>
      <c r="E136" s="463"/>
      <c r="F136" s="463"/>
      <c r="G136" s="463"/>
      <c r="H136" s="463"/>
      <c r="I136" s="463"/>
      <c r="J136" s="463"/>
      <c r="K136" s="460"/>
      <c r="L136" s="460"/>
      <c r="M136" s="461"/>
      <c r="N136" s="462"/>
      <c r="O136" s="460"/>
      <c r="P136" s="462"/>
      <c r="Q136" s="460"/>
      <c r="R136" s="460"/>
      <c r="S136" s="462"/>
      <c r="T136" s="460"/>
      <c r="U136" s="460"/>
      <c r="V136" s="460"/>
    </row>
    <row r="137" spans="1:22" ht="48" x14ac:dyDescent="0.25">
      <c r="A137" s="440" t="s">
        <v>1136</v>
      </c>
      <c r="B137" s="436"/>
      <c r="C137" s="428" t="s">
        <v>232</v>
      </c>
      <c r="D137" s="463"/>
      <c r="E137" s="463"/>
      <c r="F137" s="463"/>
      <c r="G137" s="463"/>
      <c r="H137" s="463"/>
      <c r="I137" s="463"/>
      <c r="J137" s="463"/>
      <c r="K137" s="460"/>
      <c r="L137" s="460"/>
      <c r="M137" s="461"/>
      <c r="N137" s="462"/>
      <c r="O137" s="460"/>
      <c r="P137" s="462"/>
      <c r="Q137" s="460"/>
      <c r="R137" s="460"/>
      <c r="S137" s="462"/>
      <c r="T137" s="460"/>
      <c r="U137" s="460"/>
      <c r="V137" s="460"/>
    </row>
    <row r="138" spans="1:22" s="61" customFormat="1" ht="102" customHeight="1" x14ac:dyDescent="0.25">
      <c r="A138" s="71" t="s">
        <v>1139</v>
      </c>
      <c r="B138" s="279" t="s">
        <v>550</v>
      </c>
      <c r="C138" s="473" t="s">
        <v>438</v>
      </c>
      <c r="D138" s="13" t="s">
        <v>1589</v>
      </c>
      <c r="E138" s="13" t="s">
        <v>1581</v>
      </c>
      <c r="F138" s="13" t="s">
        <v>1458</v>
      </c>
      <c r="G138" s="13" t="s">
        <v>1448</v>
      </c>
      <c r="H138" s="13" t="s">
        <v>1586</v>
      </c>
      <c r="I138" s="13"/>
      <c r="J138" s="13"/>
      <c r="K138" s="258" t="s">
        <v>117</v>
      </c>
      <c r="L138" s="258" t="s">
        <v>1459</v>
      </c>
      <c r="M138" s="259">
        <v>369</v>
      </c>
      <c r="N138" s="24"/>
      <c r="O138" s="25"/>
      <c r="P138" s="24"/>
      <c r="Q138" s="25"/>
      <c r="R138" s="25"/>
      <c r="S138" s="24"/>
      <c r="T138" s="25"/>
      <c r="U138" s="25"/>
      <c r="V138" s="25"/>
    </row>
    <row r="139" spans="1:22" ht="72" x14ac:dyDescent="0.25">
      <c r="A139" s="71" t="s">
        <v>0</v>
      </c>
      <c r="B139" s="279" t="s">
        <v>551</v>
      </c>
      <c r="C139" s="23" t="s">
        <v>342</v>
      </c>
      <c r="D139" s="10" t="s">
        <v>1580</v>
      </c>
      <c r="E139" s="10" t="s">
        <v>1581</v>
      </c>
      <c r="F139" s="10" t="s">
        <v>1447</v>
      </c>
      <c r="G139" s="13" t="s">
        <v>1448</v>
      </c>
      <c r="H139" s="24" t="s">
        <v>1586</v>
      </c>
      <c r="I139" s="10"/>
      <c r="J139" s="28"/>
      <c r="K139" s="258" t="s">
        <v>117</v>
      </c>
      <c r="L139" s="258" t="s">
        <v>1459</v>
      </c>
      <c r="M139" s="259">
        <v>274</v>
      </c>
      <c r="N139" s="24"/>
      <c r="O139" s="25"/>
      <c r="P139" s="24"/>
      <c r="Q139" s="25"/>
      <c r="R139" s="25"/>
      <c r="S139" s="24"/>
      <c r="T139" s="25"/>
      <c r="U139" s="25"/>
      <c r="V139" s="25"/>
    </row>
    <row r="140" spans="1:22" ht="60" x14ac:dyDescent="0.25">
      <c r="A140" s="71" t="s">
        <v>1407</v>
      </c>
      <c r="B140" s="279" t="s">
        <v>552</v>
      </c>
      <c r="C140" s="23" t="s">
        <v>1425</v>
      </c>
      <c r="D140" s="10" t="s">
        <v>1590</v>
      </c>
      <c r="E140" s="10" t="s">
        <v>1581</v>
      </c>
      <c r="F140" s="10" t="s">
        <v>1409</v>
      </c>
      <c r="G140" s="13" t="s">
        <v>1448</v>
      </c>
      <c r="H140" s="24" t="s">
        <v>1586</v>
      </c>
      <c r="I140" s="10"/>
      <c r="J140" s="28"/>
      <c r="K140" s="258" t="s">
        <v>117</v>
      </c>
      <c r="L140" s="258" t="s">
        <v>1459</v>
      </c>
      <c r="M140" s="259">
        <v>704</v>
      </c>
      <c r="N140" s="24"/>
      <c r="O140" s="25"/>
      <c r="P140" s="24"/>
      <c r="Q140" s="25"/>
      <c r="R140" s="25"/>
      <c r="S140" s="24"/>
      <c r="T140" s="25"/>
      <c r="U140" s="25"/>
      <c r="V140" s="25"/>
    </row>
    <row r="141" spans="1:22" ht="36" x14ac:dyDescent="0.25">
      <c r="A141" s="440" t="s">
        <v>230</v>
      </c>
      <c r="B141" s="436"/>
      <c r="C141" s="428" t="s">
        <v>233</v>
      </c>
      <c r="D141" s="463"/>
      <c r="E141" s="463"/>
      <c r="F141" s="463"/>
      <c r="G141" s="463"/>
      <c r="H141" s="463"/>
      <c r="I141" s="463"/>
      <c r="J141" s="463"/>
      <c r="K141" s="460"/>
      <c r="L141" s="460"/>
      <c r="M141" s="461"/>
      <c r="N141" s="462"/>
      <c r="O141" s="460"/>
      <c r="P141" s="462"/>
      <c r="Q141" s="460"/>
      <c r="R141" s="460"/>
      <c r="S141" s="462"/>
      <c r="T141" s="460"/>
      <c r="U141" s="460"/>
      <c r="V141" s="460"/>
    </row>
    <row r="142" spans="1:22" ht="48" x14ac:dyDescent="0.25">
      <c r="A142" s="440" t="s">
        <v>230</v>
      </c>
      <c r="B142" s="436"/>
      <c r="C142" s="428" t="s">
        <v>234</v>
      </c>
      <c r="D142" s="463"/>
      <c r="E142" s="463"/>
      <c r="F142" s="463"/>
      <c r="G142" s="463"/>
      <c r="H142" s="463"/>
      <c r="I142" s="463"/>
      <c r="J142" s="463"/>
      <c r="K142" s="460"/>
      <c r="L142" s="460"/>
      <c r="M142" s="461"/>
      <c r="N142" s="462"/>
      <c r="O142" s="460"/>
      <c r="P142" s="462"/>
      <c r="Q142" s="460"/>
      <c r="R142" s="460"/>
      <c r="S142" s="462"/>
      <c r="T142" s="460"/>
      <c r="U142" s="460"/>
      <c r="V142" s="460"/>
    </row>
    <row r="143" spans="1:22" ht="24" x14ac:dyDescent="0.25">
      <c r="A143" s="398" t="s">
        <v>1623</v>
      </c>
      <c r="B143" s="402"/>
      <c r="C143" s="398" t="s">
        <v>1624</v>
      </c>
      <c r="D143" s="452"/>
      <c r="E143" s="452"/>
      <c r="F143" s="452"/>
      <c r="G143" s="452"/>
      <c r="H143" s="452"/>
      <c r="I143" s="452"/>
      <c r="J143" s="452"/>
      <c r="K143" s="453"/>
      <c r="L143" s="453"/>
      <c r="M143" s="454"/>
      <c r="N143" s="455"/>
      <c r="O143" s="453"/>
      <c r="P143" s="455"/>
      <c r="Q143" s="453"/>
      <c r="R143" s="453"/>
      <c r="S143" s="455"/>
      <c r="T143" s="453"/>
      <c r="U143" s="453"/>
      <c r="V143" s="453"/>
    </row>
    <row r="144" spans="1:22" ht="36" x14ac:dyDescent="0.25">
      <c r="A144" s="41" t="s">
        <v>1626</v>
      </c>
      <c r="B144" s="45"/>
      <c r="C144" s="41" t="s">
        <v>1627</v>
      </c>
      <c r="D144" s="101"/>
      <c r="E144" s="101"/>
      <c r="F144" s="101"/>
      <c r="G144" s="101"/>
      <c r="H144" s="101"/>
      <c r="I144" s="101"/>
      <c r="J144" s="101"/>
      <c r="K144" s="103"/>
      <c r="L144" s="103"/>
      <c r="M144" s="256"/>
      <c r="N144" s="102"/>
      <c r="O144" s="103"/>
      <c r="P144" s="102"/>
      <c r="Q144" s="103"/>
      <c r="R144" s="103"/>
      <c r="S144" s="102"/>
      <c r="T144" s="103"/>
      <c r="U144" s="103"/>
      <c r="V144" s="103"/>
    </row>
    <row r="145" spans="1:22" ht="48" x14ac:dyDescent="0.25">
      <c r="A145" s="43" t="s">
        <v>1628</v>
      </c>
      <c r="B145" s="44"/>
      <c r="C145" s="43" t="s">
        <v>1629</v>
      </c>
      <c r="D145" s="104"/>
      <c r="E145" s="104"/>
      <c r="F145" s="104"/>
      <c r="G145" s="104"/>
      <c r="H145" s="104"/>
      <c r="I145" s="104"/>
      <c r="J145" s="104"/>
      <c r="K145" s="106"/>
      <c r="L145" s="106"/>
      <c r="M145" s="257"/>
      <c r="N145" s="105"/>
      <c r="O145" s="106"/>
      <c r="P145" s="105"/>
      <c r="Q145" s="106"/>
      <c r="R145" s="106"/>
      <c r="S145" s="105"/>
      <c r="T145" s="106"/>
      <c r="U145" s="106"/>
      <c r="V145" s="106"/>
    </row>
    <row r="146" spans="1:22" ht="60" x14ac:dyDescent="0.25">
      <c r="A146" s="428" t="s">
        <v>235</v>
      </c>
      <c r="B146" s="436"/>
      <c r="C146" s="428" t="s">
        <v>239</v>
      </c>
      <c r="D146" s="463"/>
      <c r="E146" s="463"/>
      <c r="F146" s="463"/>
      <c r="G146" s="463"/>
      <c r="H146" s="463"/>
      <c r="I146" s="463"/>
      <c r="J146" s="463"/>
      <c r="K146" s="460"/>
      <c r="L146" s="460"/>
      <c r="M146" s="461"/>
      <c r="N146" s="462"/>
      <c r="O146" s="460"/>
      <c r="P146" s="462"/>
      <c r="Q146" s="460"/>
      <c r="R146" s="460"/>
      <c r="S146" s="462"/>
      <c r="T146" s="460"/>
      <c r="U146" s="460"/>
      <c r="V146" s="460"/>
    </row>
    <row r="147" spans="1:22" ht="36" x14ac:dyDescent="0.25">
      <c r="A147" s="428" t="s">
        <v>236</v>
      </c>
      <c r="B147" s="436"/>
      <c r="C147" s="428" t="s">
        <v>240</v>
      </c>
      <c r="D147" s="463"/>
      <c r="E147" s="463"/>
      <c r="F147" s="463"/>
      <c r="G147" s="463"/>
      <c r="H147" s="463"/>
      <c r="I147" s="463"/>
      <c r="J147" s="463"/>
      <c r="K147" s="460"/>
      <c r="L147" s="460"/>
      <c r="M147" s="461"/>
      <c r="N147" s="462"/>
      <c r="O147" s="460"/>
      <c r="P147" s="462"/>
      <c r="Q147" s="460"/>
      <c r="R147" s="460"/>
      <c r="S147" s="462"/>
      <c r="T147" s="460"/>
      <c r="U147" s="460"/>
      <c r="V147" s="460"/>
    </row>
    <row r="148" spans="1:22" ht="36" x14ac:dyDescent="0.25">
      <c r="A148" s="43" t="s">
        <v>1630</v>
      </c>
      <c r="B148" s="44"/>
      <c r="C148" s="43" t="s">
        <v>1631</v>
      </c>
      <c r="D148" s="104"/>
      <c r="E148" s="104"/>
      <c r="F148" s="104"/>
      <c r="G148" s="104"/>
      <c r="H148" s="104"/>
      <c r="I148" s="104"/>
      <c r="J148" s="104"/>
      <c r="K148" s="106"/>
      <c r="L148" s="106"/>
      <c r="M148" s="257"/>
      <c r="N148" s="105"/>
      <c r="O148" s="106"/>
      <c r="P148" s="105"/>
      <c r="Q148" s="106"/>
      <c r="R148" s="106"/>
      <c r="S148" s="105"/>
      <c r="T148" s="106"/>
      <c r="U148" s="106"/>
      <c r="V148" s="106"/>
    </row>
    <row r="149" spans="1:22" ht="132" x14ac:dyDescent="0.25">
      <c r="A149" s="428" t="s">
        <v>237</v>
      </c>
      <c r="B149" s="436"/>
      <c r="C149" s="428" t="s">
        <v>241</v>
      </c>
      <c r="D149" s="463"/>
      <c r="E149" s="463"/>
      <c r="F149" s="463"/>
      <c r="G149" s="463"/>
      <c r="H149" s="463"/>
      <c r="I149" s="463"/>
      <c r="J149" s="463"/>
      <c r="K149" s="460"/>
      <c r="L149" s="460"/>
      <c r="M149" s="461"/>
      <c r="N149" s="462"/>
      <c r="O149" s="460"/>
      <c r="P149" s="462"/>
      <c r="Q149" s="460"/>
      <c r="R149" s="460"/>
      <c r="S149" s="462"/>
      <c r="T149" s="460"/>
      <c r="U149" s="460"/>
      <c r="V149" s="460"/>
    </row>
    <row r="150" spans="1:22" ht="36" x14ac:dyDescent="0.25">
      <c r="A150" s="428" t="s">
        <v>238</v>
      </c>
      <c r="B150" s="436"/>
      <c r="C150" s="428" t="s">
        <v>242</v>
      </c>
      <c r="D150" s="463"/>
      <c r="E150" s="463"/>
      <c r="F150" s="463"/>
      <c r="G150" s="463"/>
      <c r="H150" s="463"/>
      <c r="I150" s="463"/>
      <c r="J150" s="463"/>
      <c r="K150" s="460"/>
      <c r="L150" s="460"/>
      <c r="M150" s="461"/>
      <c r="N150" s="462"/>
      <c r="O150" s="460"/>
      <c r="P150" s="462"/>
      <c r="Q150" s="460"/>
      <c r="R150" s="460"/>
      <c r="S150" s="462"/>
      <c r="T150" s="460"/>
      <c r="U150" s="460"/>
      <c r="V150" s="460"/>
    </row>
    <row r="151" spans="1:22" ht="36" x14ac:dyDescent="0.25">
      <c r="A151" s="41" t="s">
        <v>1632</v>
      </c>
      <c r="B151" s="45"/>
      <c r="C151" s="41" t="s">
        <v>1633</v>
      </c>
      <c r="D151" s="101"/>
      <c r="E151" s="101"/>
      <c r="F151" s="101"/>
      <c r="G151" s="101"/>
      <c r="H151" s="101"/>
      <c r="I151" s="101"/>
      <c r="J151" s="101"/>
      <c r="K151" s="103"/>
      <c r="L151" s="103"/>
      <c r="M151" s="256"/>
      <c r="N151" s="102"/>
      <c r="O151" s="103"/>
      <c r="P151" s="102"/>
      <c r="Q151" s="103"/>
      <c r="R151" s="103"/>
      <c r="S151" s="102"/>
      <c r="T151" s="103"/>
      <c r="U151" s="103"/>
      <c r="V151" s="103"/>
    </row>
    <row r="152" spans="1:22" ht="72" x14ac:dyDescent="0.25">
      <c r="A152" s="43" t="s">
        <v>1634</v>
      </c>
      <c r="B152" s="44"/>
      <c r="C152" s="43" t="s">
        <v>1635</v>
      </c>
      <c r="D152" s="104"/>
      <c r="E152" s="104"/>
      <c r="F152" s="104"/>
      <c r="G152" s="104"/>
      <c r="H152" s="104"/>
      <c r="I152" s="104"/>
      <c r="J152" s="104"/>
      <c r="K152" s="106"/>
      <c r="L152" s="106"/>
      <c r="M152" s="257"/>
      <c r="N152" s="105"/>
      <c r="O152" s="106"/>
      <c r="P152" s="105"/>
      <c r="Q152" s="106"/>
      <c r="R152" s="106"/>
      <c r="S152" s="105"/>
      <c r="T152" s="106"/>
      <c r="U152" s="106"/>
      <c r="V152" s="106"/>
    </row>
    <row r="153" spans="1:22" ht="36" x14ac:dyDescent="0.25">
      <c r="A153" s="428" t="s">
        <v>243</v>
      </c>
      <c r="B153" s="429"/>
      <c r="C153" s="428" t="s">
        <v>248</v>
      </c>
      <c r="D153" s="456"/>
      <c r="E153" s="456"/>
      <c r="F153" s="456"/>
      <c r="G153" s="456"/>
      <c r="H153" s="456"/>
      <c r="I153" s="456"/>
      <c r="J153" s="456"/>
      <c r="K153" s="460"/>
      <c r="L153" s="460"/>
      <c r="M153" s="461"/>
      <c r="N153" s="462"/>
      <c r="O153" s="460"/>
      <c r="P153" s="462"/>
      <c r="Q153" s="460"/>
      <c r="R153" s="460"/>
      <c r="S153" s="462"/>
      <c r="T153" s="460"/>
      <c r="U153" s="460"/>
      <c r="V153" s="460"/>
    </row>
    <row r="154" spans="1:22" ht="72" x14ac:dyDescent="0.25">
      <c r="A154" s="56" t="s">
        <v>883</v>
      </c>
      <c r="B154" s="279" t="s">
        <v>553</v>
      </c>
      <c r="C154" s="23" t="s">
        <v>802</v>
      </c>
      <c r="D154" s="10" t="s">
        <v>1587</v>
      </c>
      <c r="E154" s="10" t="s">
        <v>396</v>
      </c>
      <c r="F154" s="10" t="s">
        <v>1454</v>
      </c>
      <c r="G154" s="33" t="s">
        <v>1241</v>
      </c>
      <c r="H154" s="10" t="s">
        <v>1586</v>
      </c>
      <c r="I154" s="10"/>
      <c r="J154" s="10"/>
      <c r="K154" s="23" t="s">
        <v>1053</v>
      </c>
      <c r="L154" s="23" t="s">
        <v>1054</v>
      </c>
      <c r="M154" s="59">
        <v>1</v>
      </c>
      <c r="N154" s="10" t="s">
        <v>1081</v>
      </c>
      <c r="O154" s="23" t="s">
        <v>120</v>
      </c>
      <c r="P154" s="10">
        <v>2</v>
      </c>
      <c r="Q154" s="25" t="s">
        <v>1161</v>
      </c>
      <c r="R154" s="23" t="s">
        <v>1162</v>
      </c>
      <c r="S154" s="24">
        <v>550</v>
      </c>
      <c r="T154" s="25"/>
      <c r="U154" s="25"/>
      <c r="V154" s="25"/>
    </row>
    <row r="155" spans="1:22" ht="72" x14ac:dyDescent="0.25">
      <c r="A155" s="56" t="s">
        <v>884</v>
      </c>
      <c r="B155" s="279" t="s">
        <v>554</v>
      </c>
      <c r="C155" s="30" t="s">
        <v>168</v>
      </c>
      <c r="D155" s="24" t="s">
        <v>850</v>
      </c>
      <c r="E155" s="10" t="s">
        <v>396</v>
      </c>
      <c r="F155" s="10" t="s">
        <v>1400</v>
      </c>
      <c r="G155" s="9" t="s">
        <v>1241</v>
      </c>
      <c r="H155" s="10" t="s">
        <v>1586</v>
      </c>
      <c r="I155" s="10" t="s">
        <v>1582</v>
      </c>
      <c r="J155" s="10"/>
      <c r="K155" s="25" t="s">
        <v>1081</v>
      </c>
      <c r="L155" s="258" t="s">
        <v>118</v>
      </c>
      <c r="M155" s="259">
        <v>1</v>
      </c>
      <c r="N155" s="24" t="s">
        <v>1053</v>
      </c>
      <c r="O155" s="23" t="s">
        <v>1054</v>
      </c>
      <c r="P155" s="24">
        <v>1</v>
      </c>
      <c r="Q155" s="25" t="s">
        <v>1161</v>
      </c>
      <c r="R155" s="23" t="s">
        <v>1162</v>
      </c>
      <c r="S155" s="24">
        <v>650</v>
      </c>
      <c r="T155" s="25"/>
      <c r="U155" s="25"/>
      <c r="V155" s="25"/>
    </row>
    <row r="156" spans="1:22" ht="72" x14ac:dyDescent="0.25">
      <c r="A156" s="56" t="s">
        <v>885</v>
      </c>
      <c r="B156" s="279" t="s">
        <v>555</v>
      </c>
      <c r="C156" s="30" t="s">
        <v>1197</v>
      </c>
      <c r="D156" s="24" t="s">
        <v>850</v>
      </c>
      <c r="E156" s="10" t="s">
        <v>396</v>
      </c>
      <c r="F156" s="10" t="s">
        <v>1400</v>
      </c>
      <c r="G156" s="9" t="s">
        <v>1241</v>
      </c>
      <c r="H156" s="10" t="s">
        <v>1586</v>
      </c>
      <c r="I156" s="10" t="s">
        <v>1582</v>
      </c>
      <c r="J156" s="10"/>
      <c r="K156" s="25" t="s">
        <v>1081</v>
      </c>
      <c r="L156" s="258" t="s">
        <v>119</v>
      </c>
      <c r="M156" s="259">
        <v>2</v>
      </c>
      <c r="N156" s="24" t="s">
        <v>1053</v>
      </c>
      <c r="O156" s="23" t="s">
        <v>1054</v>
      </c>
      <c r="P156" s="24">
        <v>2</v>
      </c>
      <c r="Q156" s="25" t="s">
        <v>1161</v>
      </c>
      <c r="R156" s="23" t="s">
        <v>1162</v>
      </c>
      <c r="S156" s="24">
        <v>1700</v>
      </c>
      <c r="T156" s="25"/>
      <c r="U156" s="25"/>
      <c r="V156" s="25"/>
    </row>
    <row r="157" spans="1:22" ht="84" x14ac:dyDescent="0.25">
      <c r="A157" s="56" t="s">
        <v>1213</v>
      </c>
      <c r="B157" s="279" t="s">
        <v>556</v>
      </c>
      <c r="C157" s="30" t="s">
        <v>1214</v>
      </c>
      <c r="D157" s="9" t="s">
        <v>1443</v>
      </c>
      <c r="E157" s="10" t="s">
        <v>396</v>
      </c>
      <c r="F157" s="10" t="s">
        <v>1455</v>
      </c>
      <c r="G157" s="9" t="s">
        <v>816</v>
      </c>
      <c r="H157" s="10"/>
      <c r="I157" s="10"/>
      <c r="J157" s="10"/>
      <c r="K157" s="25" t="s">
        <v>1053</v>
      </c>
      <c r="L157" s="258" t="s">
        <v>1054</v>
      </c>
      <c r="M157" s="259">
        <v>1</v>
      </c>
      <c r="N157" s="24" t="s">
        <v>1081</v>
      </c>
      <c r="O157" s="23" t="s">
        <v>118</v>
      </c>
      <c r="P157" s="24"/>
      <c r="Q157" s="25"/>
      <c r="R157" s="23"/>
      <c r="S157" s="24"/>
      <c r="T157" s="25"/>
      <c r="U157" s="25"/>
      <c r="V157" s="25"/>
    </row>
    <row r="158" spans="1:22" ht="177" customHeight="1" x14ac:dyDescent="0.25">
      <c r="A158" s="80" t="s">
        <v>164</v>
      </c>
      <c r="B158" s="279" t="s">
        <v>557</v>
      </c>
      <c r="C158" s="30" t="s">
        <v>165</v>
      </c>
      <c r="D158" s="14" t="s">
        <v>1589</v>
      </c>
      <c r="E158" s="11" t="s">
        <v>396</v>
      </c>
      <c r="F158" s="11" t="s">
        <v>1441</v>
      </c>
      <c r="G158" s="11" t="s">
        <v>1241</v>
      </c>
      <c r="H158" s="11" t="s">
        <v>1586</v>
      </c>
      <c r="I158" s="10"/>
      <c r="J158" s="10"/>
      <c r="K158" s="25" t="s">
        <v>1161</v>
      </c>
      <c r="L158" s="258" t="s">
        <v>158</v>
      </c>
      <c r="M158" s="259">
        <v>762</v>
      </c>
      <c r="N158" s="24" t="s">
        <v>1053</v>
      </c>
      <c r="O158" s="23" t="s">
        <v>1054</v>
      </c>
      <c r="P158" s="24">
        <v>1</v>
      </c>
      <c r="Q158" s="25"/>
      <c r="R158" s="23"/>
      <c r="S158" s="24"/>
      <c r="T158" s="25"/>
      <c r="U158" s="25"/>
      <c r="V158" s="116"/>
    </row>
    <row r="159" spans="1:22" ht="177" customHeight="1" x14ac:dyDescent="0.25">
      <c r="A159" s="80" t="s">
        <v>170</v>
      </c>
      <c r="B159" s="279" t="s">
        <v>558</v>
      </c>
      <c r="C159" s="30" t="s">
        <v>171</v>
      </c>
      <c r="D159" s="14" t="s">
        <v>1580</v>
      </c>
      <c r="E159" s="11" t="s">
        <v>396</v>
      </c>
      <c r="F159" s="11" t="s">
        <v>1441</v>
      </c>
      <c r="G159" s="11" t="s">
        <v>1241</v>
      </c>
      <c r="H159" s="11" t="s">
        <v>1586</v>
      </c>
      <c r="I159" s="10"/>
      <c r="J159" s="10"/>
      <c r="K159" s="25" t="s">
        <v>1161</v>
      </c>
      <c r="L159" s="258" t="s">
        <v>158</v>
      </c>
      <c r="M159" s="259">
        <v>473</v>
      </c>
      <c r="N159" s="24" t="s">
        <v>1053</v>
      </c>
      <c r="O159" s="23" t="s">
        <v>1054</v>
      </c>
      <c r="P159" s="24">
        <v>1</v>
      </c>
      <c r="Q159" s="25"/>
      <c r="R159" s="23"/>
      <c r="S159" s="24"/>
      <c r="T159" s="25"/>
      <c r="U159" s="25"/>
      <c r="V159" s="116"/>
    </row>
    <row r="160" spans="1:22" ht="24" x14ac:dyDescent="0.25">
      <c r="A160" s="428" t="s">
        <v>244</v>
      </c>
      <c r="B160" s="429"/>
      <c r="C160" s="428" t="s">
        <v>249</v>
      </c>
      <c r="D160" s="456"/>
      <c r="E160" s="456"/>
      <c r="F160" s="456"/>
      <c r="G160" s="456"/>
      <c r="H160" s="456"/>
      <c r="I160" s="456"/>
      <c r="J160" s="456"/>
      <c r="K160" s="460"/>
      <c r="L160" s="460"/>
      <c r="M160" s="461"/>
      <c r="N160" s="462"/>
      <c r="O160" s="460"/>
      <c r="P160" s="462"/>
      <c r="Q160" s="460"/>
      <c r="R160" s="460"/>
      <c r="S160" s="462"/>
      <c r="T160" s="460"/>
      <c r="U160" s="460"/>
      <c r="V160" s="460"/>
    </row>
    <row r="161" spans="1:22" ht="48" x14ac:dyDescent="0.25">
      <c r="A161" s="49" t="s">
        <v>886</v>
      </c>
      <c r="B161" s="279" t="s">
        <v>559</v>
      </c>
      <c r="C161" s="30" t="s">
        <v>1685</v>
      </c>
      <c r="D161" s="10" t="s">
        <v>850</v>
      </c>
      <c r="E161" s="10" t="s">
        <v>396</v>
      </c>
      <c r="F161" s="10" t="s">
        <v>1400</v>
      </c>
      <c r="G161" s="9" t="s">
        <v>1240</v>
      </c>
      <c r="H161" s="10" t="s">
        <v>1586</v>
      </c>
      <c r="I161" s="10" t="s">
        <v>1582</v>
      </c>
      <c r="J161" s="10"/>
      <c r="K161" s="290"/>
      <c r="L161" s="291"/>
      <c r="M161" s="292"/>
      <c r="N161" s="282"/>
      <c r="O161" s="270"/>
      <c r="P161" s="282"/>
      <c r="Q161" s="290"/>
      <c r="R161" s="270"/>
      <c r="S161" s="282"/>
      <c r="T161" s="25"/>
      <c r="U161" s="25"/>
      <c r="V161" s="25"/>
    </row>
    <row r="162" spans="1:22" ht="213.75" customHeight="1" x14ac:dyDescent="0.25">
      <c r="A162" s="39" t="s">
        <v>887</v>
      </c>
      <c r="B162" s="279" t="s">
        <v>560</v>
      </c>
      <c r="C162" s="30" t="s">
        <v>340</v>
      </c>
      <c r="D162" s="11" t="s">
        <v>850</v>
      </c>
      <c r="E162" s="47" t="s">
        <v>396</v>
      </c>
      <c r="F162" s="11" t="s">
        <v>1400</v>
      </c>
      <c r="G162" s="90" t="s">
        <v>1240</v>
      </c>
      <c r="H162" s="11" t="s">
        <v>1586</v>
      </c>
      <c r="I162" s="11" t="s">
        <v>1582</v>
      </c>
      <c r="J162" s="10"/>
      <c r="K162" s="299" t="s">
        <v>367</v>
      </c>
      <c r="L162" s="31" t="s">
        <v>368</v>
      </c>
      <c r="M162" s="299">
        <v>16</v>
      </c>
      <c r="N162" s="24" t="s">
        <v>1051</v>
      </c>
      <c r="O162" s="23" t="s">
        <v>1052</v>
      </c>
      <c r="P162" s="24">
        <v>1</v>
      </c>
      <c r="Q162" s="25" t="s">
        <v>1161</v>
      </c>
      <c r="R162" s="23" t="s">
        <v>1162</v>
      </c>
      <c r="S162" s="24">
        <v>206</v>
      </c>
      <c r="T162" s="31" t="s">
        <v>369</v>
      </c>
      <c r="U162" s="31" t="s">
        <v>370</v>
      </c>
      <c r="V162" s="299">
        <v>3</v>
      </c>
    </row>
    <row r="163" spans="1:22" ht="48" x14ac:dyDescent="0.25">
      <c r="A163" s="39" t="s">
        <v>1151</v>
      </c>
      <c r="B163" s="279" t="s">
        <v>561</v>
      </c>
      <c r="C163" s="30" t="s">
        <v>334</v>
      </c>
      <c r="D163" s="11" t="s">
        <v>850</v>
      </c>
      <c r="E163" s="47" t="s">
        <v>396</v>
      </c>
      <c r="F163" s="11" t="s">
        <v>1400</v>
      </c>
      <c r="G163" s="90" t="s">
        <v>1240</v>
      </c>
      <c r="H163" s="11" t="s">
        <v>1586</v>
      </c>
      <c r="I163" s="11" t="s">
        <v>1582</v>
      </c>
      <c r="J163" s="10"/>
      <c r="K163" s="305"/>
      <c r="L163" s="306"/>
      <c r="M163" s="307"/>
      <c r="N163" s="117"/>
      <c r="O163" s="118"/>
      <c r="P163" s="117"/>
      <c r="Q163" s="305"/>
      <c r="R163" s="118"/>
      <c r="S163" s="117"/>
      <c r="T163" s="25"/>
      <c r="U163" s="25"/>
      <c r="V163" s="25"/>
    </row>
    <row r="164" spans="1:22" ht="177" customHeight="1" x14ac:dyDescent="0.25">
      <c r="A164" s="39" t="s">
        <v>149</v>
      </c>
      <c r="B164" s="279" t="s">
        <v>562</v>
      </c>
      <c r="C164" s="30" t="s">
        <v>150</v>
      </c>
      <c r="D164" s="11" t="s">
        <v>850</v>
      </c>
      <c r="E164" s="47" t="s">
        <v>396</v>
      </c>
      <c r="F164" s="11" t="s">
        <v>1400</v>
      </c>
      <c r="G164" s="90" t="s">
        <v>1240</v>
      </c>
      <c r="H164" s="11" t="s">
        <v>1586</v>
      </c>
      <c r="I164" s="11" t="s">
        <v>1582</v>
      </c>
      <c r="J164" s="10"/>
      <c r="K164" s="299" t="s">
        <v>367</v>
      </c>
      <c r="L164" s="31" t="s">
        <v>368</v>
      </c>
      <c r="M164" s="299">
        <v>35</v>
      </c>
      <c r="N164" s="24" t="s">
        <v>1051</v>
      </c>
      <c r="O164" s="23" t="s">
        <v>1052</v>
      </c>
      <c r="P164" s="24">
        <v>1</v>
      </c>
      <c r="Q164" s="25" t="s">
        <v>1161</v>
      </c>
      <c r="R164" s="23" t="s">
        <v>1162</v>
      </c>
      <c r="S164" s="24">
        <v>144</v>
      </c>
      <c r="T164" s="31" t="s">
        <v>369</v>
      </c>
      <c r="U164" s="31" t="s">
        <v>370</v>
      </c>
      <c r="V164" s="25">
        <v>2</v>
      </c>
    </row>
    <row r="165" spans="1:22" ht="161.25" customHeight="1" x14ac:dyDescent="0.25">
      <c r="A165" s="294" t="s">
        <v>362</v>
      </c>
      <c r="B165" s="279" t="s">
        <v>563</v>
      </c>
      <c r="C165" s="294" t="s">
        <v>363</v>
      </c>
      <c r="D165" s="287" t="s">
        <v>1589</v>
      </c>
      <c r="E165" s="32" t="s">
        <v>396</v>
      </c>
      <c r="F165" s="287" t="s">
        <v>1441</v>
      </c>
      <c r="G165" s="287" t="s">
        <v>1240</v>
      </c>
      <c r="H165" s="287" t="s">
        <v>1586</v>
      </c>
      <c r="I165" s="294"/>
      <c r="J165" s="294"/>
      <c r="K165" s="283" t="s">
        <v>1051</v>
      </c>
      <c r="L165" s="283" t="s">
        <v>1052</v>
      </c>
      <c r="M165" s="284">
        <v>1</v>
      </c>
      <c r="N165" s="299" t="s">
        <v>1161</v>
      </c>
      <c r="O165" s="308" t="s">
        <v>366</v>
      </c>
      <c r="P165" s="299">
        <v>200</v>
      </c>
      <c r="Q165" s="299" t="s">
        <v>367</v>
      </c>
      <c r="R165" s="31" t="s">
        <v>368</v>
      </c>
      <c r="S165" s="299">
        <v>25</v>
      </c>
      <c r="T165" s="31" t="s">
        <v>369</v>
      </c>
      <c r="U165" s="31" t="s">
        <v>370</v>
      </c>
      <c r="V165" s="299">
        <v>11</v>
      </c>
    </row>
    <row r="166" spans="1:22" ht="169.5" customHeight="1" x14ac:dyDescent="0.25">
      <c r="A166" s="299" t="s">
        <v>364</v>
      </c>
      <c r="B166" s="279" t="s">
        <v>564</v>
      </c>
      <c r="C166" s="294" t="s">
        <v>365</v>
      </c>
      <c r="D166" s="287" t="s">
        <v>1589</v>
      </c>
      <c r="E166" s="34" t="s">
        <v>396</v>
      </c>
      <c r="F166" s="287" t="s">
        <v>1441</v>
      </c>
      <c r="G166" s="287" t="s">
        <v>1240</v>
      </c>
      <c r="H166" s="300" t="s">
        <v>1586</v>
      </c>
      <c r="I166" s="299"/>
      <c r="J166" s="299"/>
      <c r="K166" s="283" t="s">
        <v>1051</v>
      </c>
      <c r="L166" s="283" t="s">
        <v>1052</v>
      </c>
      <c r="M166" s="284">
        <v>1</v>
      </c>
      <c r="N166" s="299" t="s">
        <v>1161</v>
      </c>
      <c r="O166" s="308" t="s">
        <v>366</v>
      </c>
      <c r="P166" s="299">
        <v>200</v>
      </c>
      <c r="Q166" s="299" t="s">
        <v>367</v>
      </c>
      <c r="R166" s="31" t="s">
        <v>368</v>
      </c>
      <c r="S166" s="299">
        <v>24</v>
      </c>
      <c r="T166" s="31" t="s">
        <v>369</v>
      </c>
      <c r="U166" s="31" t="s">
        <v>370</v>
      </c>
      <c r="V166" s="299">
        <v>11</v>
      </c>
    </row>
    <row r="167" spans="1:22" ht="169.5" customHeight="1" x14ac:dyDescent="0.25">
      <c r="A167" s="294" t="s">
        <v>1681</v>
      </c>
      <c r="B167" s="279" t="s">
        <v>565</v>
      </c>
      <c r="C167" s="31" t="s">
        <v>1682</v>
      </c>
      <c r="D167" s="31" t="s">
        <v>850</v>
      </c>
      <c r="E167" s="31" t="s">
        <v>396</v>
      </c>
      <c r="F167" s="31" t="s">
        <v>1400</v>
      </c>
      <c r="G167" s="294" t="s">
        <v>1240</v>
      </c>
      <c r="H167" s="31" t="s">
        <v>1586</v>
      </c>
      <c r="I167" s="31"/>
      <c r="J167" s="31"/>
      <c r="K167" s="283" t="s">
        <v>1051</v>
      </c>
      <c r="L167" s="283" t="s">
        <v>1052</v>
      </c>
      <c r="M167" s="284">
        <v>1</v>
      </c>
      <c r="N167" s="299" t="s">
        <v>1161</v>
      </c>
      <c r="O167" s="308" t="s">
        <v>366</v>
      </c>
      <c r="P167" s="299">
        <v>225</v>
      </c>
      <c r="Q167" s="299" t="s">
        <v>367</v>
      </c>
      <c r="R167" s="31" t="s">
        <v>368</v>
      </c>
      <c r="S167" s="299">
        <v>80</v>
      </c>
      <c r="T167" s="31" t="s">
        <v>369</v>
      </c>
      <c r="U167" s="31" t="s">
        <v>370</v>
      </c>
      <c r="V167" s="299">
        <v>4</v>
      </c>
    </row>
    <row r="168" spans="1:22" ht="24" x14ac:dyDescent="0.25">
      <c r="A168" s="428" t="s">
        <v>245</v>
      </c>
      <c r="B168" s="429"/>
      <c r="C168" s="428" t="s">
        <v>250</v>
      </c>
      <c r="D168" s="456"/>
      <c r="E168" s="456"/>
      <c r="F168" s="456"/>
      <c r="G168" s="456"/>
      <c r="H168" s="456"/>
      <c r="I168" s="456"/>
      <c r="J168" s="456"/>
      <c r="K168" s="460"/>
      <c r="L168" s="460"/>
      <c r="M168" s="461"/>
      <c r="N168" s="462"/>
      <c r="O168" s="460"/>
      <c r="P168" s="462"/>
      <c r="Q168" s="460"/>
      <c r="R168" s="460"/>
      <c r="S168" s="462"/>
      <c r="T168" s="460"/>
      <c r="U168" s="460"/>
      <c r="V168" s="460"/>
    </row>
    <row r="169" spans="1:22" ht="48" x14ac:dyDescent="0.25">
      <c r="A169" s="428" t="s">
        <v>246</v>
      </c>
      <c r="B169" s="429"/>
      <c r="C169" s="428" t="s">
        <v>251</v>
      </c>
      <c r="D169" s="456"/>
      <c r="E169" s="456"/>
      <c r="F169" s="456"/>
      <c r="G169" s="456"/>
      <c r="H169" s="456"/>
      <c r="I169" s="456"/>
      <c r="J169" s="456"/>
      <c r="K169" s="460"/>
      <c r="L169" s="460"/>
      <c r="M169" s="461"/>
      <c r="N169" s="462"/>
      <c r="O169" s="460"/>
      <c r="P169" s="462"/>
      <c r="Q169" s="460"/>
      <c r="R169" s="460"/>
      <c r="S169" s="462"/>
      <c r="T169" s="460"/>
      <c r="U169" s="460"/>
      <c r="V169" s="460"/>
    </row>
    <row r="170" spans="1:22" ht="144" x14ac:dyDescent="0.25">
      <c r="A170" s="31" t="s">
        <v>1152</v>
      </c>
      <c r="B170" s="279" t="s">
        <v>566</v>
      </c>
      <c r="C170" s="31" t="s">
        <v>371</v>
      </c>
      <c r="D170" s="31" t="s">
        <v>1145</v>
      </c>
      <c r="E170" s="31" t="s">
        <v>396</v>
      </c>
      <c r="F170" s="31" t="s">
        <v>1147</v>
      </c>
      <c r="G170" s="31" t="s">
        <v>1240</v>
      </c>
      <c r="H170" s="31" t="s">
        <v>1586</v>
      </c>
      <c r="I170" s="31"/>
      <c r="J170" s="285"/>
      <c r="K170" s="283" t="s">
        <v>1051</v>
      </c>
      <c r="L170" s="283" t="s">
        <v>1052</v>
      </c>
      <c r="M170" s="284">
        <v>1</v>
      </c>
      <c r="N170" s="299" t="s">
        <v>1161</v>
      </c>
      <c r="O170" s="308" t="s">
        <v>366</v>
      </c>
      <c r="P170" s="299">
        <v>20</v>
      </c>
      <c r="Q170" s="299" t="s">
        <v>367</v>
      </c>
      <c r="R170" s="31" t="s">
        <v>368</v>
      </c>
      <c r="S170" s="299">
        <v>20</v>
      </c>
      <c r="T170" s="31" t="s">
        <v>369</v>
      </c>
      <c r="U170" s="31" t="s">
        <v>370</v>
      </c>
      <c r="V170" s="299">
        <v>2</v>
      </c>
    </row>
    <row r="171" spans="1:22" ht="48" x14ac:dyDescent="0.25">
      <c r="A171" s="428" t="s">
        <v>247</v>
      </c>
      <c r="B171" s="429"/>
      <c r="C171" s="428" t="s">
        <v>252</v>
      </c>
      <c r="D171" s="456"/>
      <c r="E171" s="456"/>
      <c r="F171" s="456"/>
      <c r="G171" s="456"/>
      <c r="H171" s="456"/>
      <c r="I171" s="456"/>
      <c r="J171" s="456"/>
      <c r="K171" s="460"/>
      <c r="L171" s="460"/>
      <c r="M171" s="461"/>
      <c r="N171" s="462"/>
      <c r="O171" s="460"/>
      <c r="P171" s="462"/>
      <c r="Q171" s="460"/>
      <c r="R171" s="460"/>
      <c r="S171" s="462"/>
      <c r="T171" s="460"/>
      <c r="U171" s="460"/>
      <c r="V171" s="460"/>
    </row>
    <row r="172" spans="1:22" ht="24" x14ac:dyDescent="0.25">
      <c r="A172" s="428" t="s">
        <v>253</v>
      </c>
      <c r="B172" s="429"/>
      <c r="C172" s="428" t="s">
        <v>257</v>
      </c>
      <c r="D172" s="456"/>
      <c r="E172" s="456"/>
      <c r="F172" s="456"/>
      <c r="G172" s="456"/>
      <c r="H172" s="456"/>
      <c r="I172" s="456"/>
      <c r="J172" s="456"/>
      <c r="K172" s="460"/>
      <c r="L172" s="460"/>
      <c r="M172" s="461"/>
      <c r="N172" s="462"/>
      <c r="O172" s="460"/>
      <c r="P172" s="462"/>
      <c r="Q172" s="460"/>
      <c r="R172" s="460"/>
      <c r="S172" s="462"/>
      <c r="T172" s="460"/>
      <c r="U172" s="460"/>
      <c r="V172" s="460"/>
    </row>
    <row r="173" spans="1:22" ht="36" x14ac:dyDescent="0.25">
      <c r="A173" s="428" t="s">
        <v>254</v>
      </c>
      <c r="B173" s="429"/>
      <c r="C173" s="428" t="s">
        <v>258</v>
      </c>
      <c r="D173" s="456"/>
      <c r="E173" s="456"/>
      <c r="F173" s="456"/>
      <c r="G173" s="456"/>
      <c r="H173" s="456"/>
      <c r="I173" s="456"/>
      <c r="J173" s="456"/>
      <c r="K173" s="460"/>
      <c r="L173" s="460"/>
      <c r="M173" s="461"/>
      <c r="N173" s="462"/>
      <c r="O173" s="460"/>
      <c r="P173" s="462"/>
      <c r="Q173" s="460"/>
      <c r="R173" s="460"/>
      <c r="S173" s="462"/>
      <c r="T173" s="460"/>
      <c r="U173" s="460"/>
      <c r="V173" s="460"/>
    </row>
    <row r="174" spans="1:22" ht="48" x14ac:dyDescent="0.25">
      <c r="A174" s="23" t="s">
        <v>393</v>
      </c>
      <c r="B174" s="279" t="s">
        <v>567</v>
      </c>
      <c r="C174" s="23" t="s">
        <v>394</v>
      </c>
      <c r="D174" s="10" t="s">
        <v>1590</v>
      </c>
      <c r="E174" s="10" t="s">
        <v>395</v>
      </c>
      <c r="F174" s="10" t="s">
        <v>1446</v>
      </c>
      <c r="G174" s="24" t="s">
        <v>816</v>
      </c>
      <c r="H174" s="24" t="s">
        <v>1592</v>
      </c>
      <c r="I174" s="10"/>
      <c r="J174" s="10"/>
      <c r="K174" s="258" t="s">
        <v>1045</v>
      </c>
      <c r="L174" s="258" t="s">
        <v>1046</v>
      </c>
      <c r="M174" s="59">
        <v>1</v>
      </c>
      <c r="N174" s="260" t="s">
        <v>1053</v>
      </c>
      <c r="O174" s="258" t="s">
        <v>1054</v>
      </c>
      <c r="P174" s="10">
        <v>1</v>
      </c>
      <c r="Q174" s="25"/>
      <c r="R174" s="25"/>
      <c r="S174" s="24"/>
      <c r="T174" s="25"/>
      <c r="U174" s="25"/>
      <c r="V174" s="25"/>
    </row>
    <row r="175" spans="1:22" ht="60" x14ac:dyDescent="0.25">
      <c r="A175" s="428" t="s">
        <v>255</v>
      </c>
      <c r="B175" s="429"/>
      <c r="C175" s="428" t="s">
        <v>1706</v>
      </c>
      <c r="D175" s="456"/>
      <c r="E175" s="456"/>
      <c r="F175" s="456"/>
      <c r="G175" s="456"/>
      <c r="H175" s="456"/>
      <c r="I175" s="456"/>
      <c r="J175" s="456"/>
      <c r="K175" s="460"/>
      <c r="L175" s="460"/>
      <c r="M175" s="461"/>
      <c r="N175" s="462"/>
      <c r="O175" s="460"/>
      <c r="P175" s="462"/>
      <c r="Q175" s="460"/>
      <c r="R175" s="460"/>
      <c r="S175" s="462"/>
      <c r="T175" s="460"/>
      <c r="U175" s="460"/>
      <c r="V175" s="460"/>
    </row>
    <row r="176" spans="1:22" ht="48" x14ac:dyDescent="0.25">
      <c r="A176" s="428" t="s">
        <v>256</v>
      </c>
      <c r="B176" s="429"/>
      <c r="C176" s="428" t="s">
        <v>1707</v>
      </c>
      <c r="D176" s="456"/>
      <c r="E176" s="456"/>
      <c r="F176" s="456"/>
      <c r="G176" s="456"/>
      <c r="H176" s="456"/>
      <c r="I176" s="456"/>
      <c r="J176" s="456"/>
      <c r="K176" s="460"/>
      <c r="L176" s="460"/>
      <c r="M176" s="461"/>
      <c r="N176" s="462"/>
      <c r="O176" s="460"/>
      <c r="P176" s="462"/>
      <c r="Q176" s="460"/>
      <c r="R176" s="460"/>
      <c r="S176" s="462"/>
      <c r="T176" s="460"/>
      <c r="U176" s="460"/>
      <c r="V176" s="460"/>
    </row>
    <row r="177" spans="1:22" ht="48" x14ac:dyDescent="0.25">
      <c r="A177" s="42" t="s">
        <v>1636</v>
      </c>
      <c r="B177" s="46"/>
      <c r="C177" s="42" t="s">
        <v>1637</v>
      </c>
      <c r="D177" s="98"/>
      <c r="E177" s="98"/>
      <c r="F177" s="98"/>
      <c r="G177" s="98"/>
      <c r="H177" s="98"/>
      <c r="I177" s="98"/>
      <c r="J177" s="98"/>
      <c r="K177" s="106"/>
      <c r="L177" s="106"/>
      <c r="M177" s="257"/>
      <c r="N177" s="105"/>
      <c r="O177" s="106"/>
      <c r="P177" s="105"/>
      <c r="Q177" s="106"/>
      <c r="R177" s="106"/>
      <c r="S177" s="105"/>
      <c r="T177" s="106"/>
      <c r="U177" s="106"/>
      <c r="V177" s="106"/>
    </row>
    <row r="178" spans="1:22" ht="36" x14ac:dyDescent="0.25">
      <c r="A178" s="428" t="s">
        <v>1708</v>
      </c>
      <c r="B178" s="429"/>
      <c r="C178" s="428" t="s">
        <v>1714</v>
      </c>
      <c r="D178" s="456"/>
      <c r="E178" s="456"/>
      <c r="F178" s="456"/>
      <c r="G178" s="456"/>
      <c r="H178" s="456"/>
      <c r="I178" s="456"/>
      <c r="J178" s="456"/>
      <c r="K178" s="460"/>
      <c r="L178" s="460"/>
      <c r="M178" s="461"/>
      <c r="N178" s="462"/>
      <c r="O178" s="460"/>
      <c r="P178" s="462"/>
      <c r="Q178" s="460"/>
      <c r="R178" s="460"/>
      <c r="S178" s="462"/>
      <c r="T178" s="460"/>
      <c r="U178" s="460"/>
      <c r="V178" s="460"/>
    </row>
    <row r="179" spans="1:22" ht="48" x14ac:dyDescent="0.25">
      <c r="A179" s="428" t="s">
        <v>1709</v>
      </c>
      <c r="B179" s="429"/>
      <c r="C179" s="428" t="s">
        <v>1715</v>
      </c>
      <c r="D179" s="456"/>
      <c r="E179" s="456"/>
      <c r="F179" s="456"/>
      <c r="G179" s="456"/>
      <c r="H179" s="456"/>
      <c r="I179" s="456"/>
      <c r="J179" s="456"/>
      <c r="K179" s="460"/>
      <c r="L179" s="460"/>
      <c r="M179" s="461"/>
      <c r="N179" s="462"/>
      <c r="O179" s="460"/>
      <c r="P179" s="462"/>
      <c r="Q179" s="460"/>
      <c r="R179" s="460"/>
      <c r="S179" s="462"/>
      <c r="T179" s="460"/>
      <c r="U179" s="460"/>
      <c r="V179" s="460"/>
    </row>
    <row r="180" spans="1:22" ht="144" x14ac:dyDescent="0.25">
      <c r="A180" s="23" t="s">
        <v>801</v>
      </c>
      <c r="B180" s="279" t="s">
        <v>568</v>
      </c>
      <c r="C180" s="31" t="s">
        <v>372</v>
      </c>
      <c r="D180" s="10" t="s">
        <v>1580</v>
      </c>
      <c r="E180" s="10" t="s">
        <v>396</v>
      </c>
      <c r="F180" s="10" t="s">
        <v>1456</v>
      </c>
      <c r="G180" s="9" t="s">
        <v>1240</v>
      </c>
      <c r="H180" s="10" t="s">
        <v>1586</v>
      </c>
      <c r="I180" s="9"/>
      <c r="J180" s="9"/>
      <c r="K180" s="258" t="s">
        <v>1051</v>
      </c>
      <c r="L180" s="258" t="s">
        <v>1052</v>
      </c>
      <c r="M180" s="259">
        <v>1</v>
      </c>
      <c r="N180" s="299" t="s">
        <v>1161</v>
      </c>
      <c r="O180" s="309" t="s">
        <v>366</v>
      </c>
      <c r="P180" s="25">
        <v>180</v>
      </c>
      <c r="Q180" s="25" t="s">
        <v>367</v>
      </c>
      <c r="R180" s="23" t="s">
        <v>368</v>
      </c>
      <c r="S180" s="25">
        <v>0</v>
      </c>
      <c r="T180" s="23" t="s">
        <v>369</v>
      </c>
      <c r="U180" s="23" t="s">
        <v>370</v>
      </c>
      <c r="V180" s="25">
        <v>2</v>
      </c>
    </row>
    <row r="181" spans="1:22" ht="60" x14ac:dyDescent="0.25">
      <c r="A181" s="23" t="s">
        <v>888</v>
      </c>
      <c r="B181" s="279" t="s">
        <v>569</v>
      </c>
      <c r="C181" s="23" t="s">
        <v>1508</v>
      </c>
      <c r="D181" s="10" t="s">
        <v>1587</v>
      </c>
      <c r="E181" s="10" t="s">
        <v>392</v>
      </c>
      <c r="F181" s="10" t="s">
        <v>1454</v>
      </c>
      <c r="G181" s="10" t="s">
        <v>1183</v>
      </c>
      <c r="H181" s="10" t="s">
        <v>1586</v>
      </c>
      <c r="I181" s="10"/>
      <c r="J181" s="10"/>
      <c r="K181" s="23"/>
      <c r="L181" s="23" t="s">
        <v>1491</v>
      </c>
      <c r="M181" s="259">
        <v>1</v>
      </c>
      <c r="N181" s="24"/>
      <c r="O181" s="23" t="s">
        <v>113</v>
      </c>
      <c r="P181" s="24">
        <v>812</v>
      </c>
      <c r="Q181" s="25"/>
      <c r="R181" s="23" t="s">
        <v>114</v>
      </c>
      <c r="S181" s="24">
        <v>1</v>
      </c>
      <c r="T181" s="25"/>
      <c r="U181" s="25"/>
      <c r="V181" s="25"/>
    </row>
    <row r="182" spans="1:22" ht="208.5" customHeight="1" x14ac:dyDescent="0.25">
      <c r="A182" s="23" t="s">
        <v>889</v>
      </c>
      <c r="B182" s="279" t="s">
        <v>570</v>
      </c>
      <c r="C182" s="23" t="s">
        <v>46</v>
      </c>
      <c r="D182" s="10" t="s">
        <v>1587</v>
      </c>
      <c r="E182" s="10" t="s">
        <v>396</v>
      </c>
      <c r="F182" s="10" t="s">
        <v>1454</v>
      </c>
      <c r="G182" s="14" t="s">
        <v>1240</v>
      </c>
      <c r="H182" s="10" t="s">
        <v>1586</v>
      </c>
      <c r="I182" s="10"/>
      <c r="J182" s="52"/>
      <c r="K182" s="23" t="s">
        <v>1051</v>
      </c>
      <c r="L182" s="23" t="s">
        <v>1052</v>
      </c>
      <c r="M182" s="59">
        <v>1</v>
      </c>
      <c r="N182" s="299" t="s">
        <v>1161</v>
      </c>
      <c r="O182" s="308" t="s">
        <v>366</v>
      </c>
      <c r="P182" s="299">
        <v>185</v>
      </c>
      <c r="Q182" s="299" t="s">
        <v>367</v>
      </c>
      <c r="R182" s="31" t="s">
        <v>368</v>
      </c>
      <c r="S182" s="299">
        <v>56</v>
      </c>
      <c r="T182" s="31" t="s">
        <v>369</v>
      </c>
      <c r="U182" s="31" t="s">
        <v>370</v>
      </c>
      <c r="V182" s="299">
        <v>6</v>
      </c>
    </row>
    <row r="183" spans="1:22" ht="182.25" customHeight="1" x14ac:dyDescent="0.25">
      <c r="A183" s="23" t="s">
        <v>890</v>
      </c>
      <c r="B183" s="279" t="s">
        <v>571</v>
      </c>
      <c r="C183" s="19" t="s">
        <v>144</v>
      </c>
      <c r="D183" s="9" t="s">
        <v>1443</v>
      </c>
      <c r="E183" s="13" t="s">
        <v>396</v>
      </c>
      <c r="F183" s="9" t="s">
        <v>1455</v>
      </c>
      <c r="G183" s="9" t="s">
        <v>1241</v>
      </c>
      <c r="H183" s="13" t="s">
        <v>1586</v>
      </c>
      <c r="I183" s="13"/>
      <c r="J183" s="13"/>
      <c r="K183" s="23" t="s">
        <v>1053</v>
      </c>
      <c r="L183" s="23" t="s">
        <v>1054</v>
      </c>
      <c r="M183" s="259">
        <v>2</v>
      </c>
      <c r="N183" s="258" t="s">
        <v>1161</v>
      </c>
      <c r="O183" s="23" t="s">
        <v>158</v>
      </c>
      <c r="P183" s="59">
        <v>1090</v>
      </c>
      <c r="Q183" s="25"/>
      <c r="R183" s="25"/>
      <c r="S183" s="24"/>
      <c r="T183" s="25"/>
      <c r="U183" s="25"/>
      <c r="V183" s="25"/>
    </row>
    <row r="184" spans="1:22" ht="144" x14ac:dyDescent="0.25">
      <c r="A184" s="23" t="s">
        <v>891</v>
      </c>
      <c r="B184" s="279" t="s">
        <v>572</v>
      </c>
      <c r="C184" s="281" t="s">
        <v>373</v>
      </c>
      <c r="D184" s="9" t="s">
        <v>1443</v>
      </c>
      <c r="E184" s="13" t="s">
        <v>396</v>
      </c>
      <c r="F184" s="15" t="s">
        <v>1455</v>
      </c>
      <c r="G184" s="9" t="s">
        <v>1240</v>
      </c>
      <c r="H184" s="13" t="s">
        <v>1586</v>
      </c>
      <c r="I184" s="13"/>
      <c r="J184" s="13"/>
      <c r="K184" s="23" t="s">
        <v>1051</v>
      </c>
      <c r="L184" s="23" t="s">
        <v>1052</v>
      </c>
      <c r="M184" s="259">
        <v>1</v>
      </c>
      <c r="N184" s="299" t="s">
        <v>1161</v>
      </c>
      <c r="O184" s="308" t="s">
        <v>366</v>
      </c>
      <c r="P184" s="299">
        <v>182</v>
      </c>
      <c r="Q184" s="299" t="s">
        <v>367</v>
      </c>
      <c r="R184" s="31" t="s">
        <v>368</v>
      </c>
      <c r="S184" s="299">
        <v>20</v>
      </c>
      <c r="T184" s="31" t="s">
        <v>369</v>
      </c>
      <c r="U184" s="31" t="s">
        <v>370</v>
      </c>
      <c r="V184" s="299">
        <v>2</v>
      </c>
    </row>
    <row r="185" spans="1:22" ht="48" x14ac:dyDescent="0.25">
      <c r="A185" s="23" t="s">
        <v>892</v>
      </c>
      <c r="B185" s="279" t="s">
        <v>1843</v>
      </c>
      <c r="C185" s="19" t="s">
        <v>815</v>
      </c>
      <c r="D185" s="9" t="s">
        <v>1443</v>
      </c>
      <c r="E185" s="13" t="s">
        <v>396</v>
      </c>
      <c r="F185" s="9" t="s">
        <v>1455</v>
      </c>
      <c r="G185" s="13" t="s">
        <v>816</v>
      </c>
      <c r="H185" s="13" t="s">
        <v>1586</v>
      </c>
      <c r="I185" s="13"/>
      <c r="J185" s="13"/>
      <c r="K185" s="23" t="s">
        <v>1550</v>
      </c>
      <c r="L185" s="23" t="s">
        <v>1172</v>
      </c>
      <c r="M185" s="259">
        <v>1</v>
      </c>
      <c r="N185" s="24"/>
      <c r="O185" s="25"/>
      <c r="P185" s="24"/>
      <c r="Q185" s="25"/>
      <c r="R185" s="25"/>
      <c r="S185" s="24"/>
      <c r="T185" s="25"/>
      <c r="U185" s="25"/>
      <c r="V185" s="25"/>
    </row>
    <row r="186" spans="1:22" ht="36" x14ac:dyDescent="0.25">
      <c r="A186" s="23" t="s">
        <v>893</v>
      </c>
      <c r="B186" s="279" t="s">
        <v>1842</v>
      </c>
      <c r="C186" s="36" t="s">
        <v>1215</v>
      </c>
      <c r="D186" s="14" t="s">
        <v>1443</v>
      </c>
      <c r="E186" s="12" t="s">
        <v>396</v>
      </c>
      <c r="F186" s="35" t="s">
        <v>1455</v>
      </c>
      <c r="G186" s="12" t="s">
        <v>1841</v>
      </c>
      <c r="H186" s="13" t="s">
        <v>1586</v>
      </c>
      <c r="I186" s="13"/>
      <c r="J186" s="13"/>
      <c r="K186" s="23" t="s">
        <v>1550</v>
      </c>
      <c r="L186" s="23" t="s">
        <v>1172</v>
      </c>
      <c r="M186" s="259">
        <v>1</v>
      </c>
      <c r="N186" s="24"/>
      <c r="O186" s="25"/>
      <c r="P186" s="24"/>
      <c r="Q186" s="25"/>
      <c r="R186" s="25"/>
      <c r="S186" s="24"/>
      <c r="T186" s="25"/>
      <c r="U186" s="25"/>
      <c r="V186" s="25"/>
    </row>
    <row r="187" spans="1:22" ht="36" x14ac:dyDescent="0.25">
      <c r="A187" s="23" t="s">
        <v>894</v>
      </c>
      <c r="B187" s="279" t="s">
        <v>573</v>
      </c>
      <c r="C187" s="19" t="s">
        <v>817</v>
      </c>
      <c r="D187" s="9" t="s">
        <v>1443</v>
      </c>
      <c r="E187" s="13" t="s">
        <v>396</v>
      </c>
      <c r="F187" s="9" t="s">
        <v>1455</v>
      </c>
      <c r="G187" s="13" t="s">
        <v>816</v>
      </c>
      <c r="H187" s="13" t="s">
        <v>1586</v>
      </c>
      <c r="I187" s="13"/>
      <c r="J187" s="13"/>
      <c r="K187" s="23" t="s">
        <v>1550</v>
      </c>
      <c r="L187" s="23" t="s">
        <v>1173</v>
      </c>
      <c r="M187" s="259">
        <v>1</v>
      </c>
      <c r="N187" s="24"/>
      <c r="O187" s="25"/>
      <c r="P187" s="24"/>
      <c r="Q187" s="25"/>
      <c r="R187" s="25"/>
      <c r="S187" s="24"/>
      <c r="T187" s="25"/>
      <c r="U187" s="25"/>
      <c r="V187" s="25"/>
    </row>
    <row r="188" spans="1:22" ht="60" x14ac:dyDescent="0.25">
      <c r="A188" s="23" t="s">
        <v>895</v>
      </c>
      <c r="B188" s="279" t="s">
        <v>1844</v>
      </c>
      <c r="C188" s="19" t="s">
        <v>818</v>
      </c>
      <c r="D188" s="13" t="s">
        <v>1443</v>
      </c>
      <c r="E188" s="13" t="s">
        <v>819</v>
      </c>
      <c r="F188" s="13" t="s">
        <v>1455</v>
      </c>
      <c r="G188" s="13" t="s">
        <v>816</v>
      </c>
      <c r="H188" s="13" t="s">
        <v>1586</v>
      </c>
      <c r="I188" s="13"/>
      <c r="J188" s="13"/>
      <c r="K188" s="23" t="s">
        <v>1550</v>
      </c>
      <c r="L188" s="23" t="s">
        <v>1174</v>
      </c>
      <c r="M188" s="259">
        <v>1</v>
      </c>
      <c r="N188" s="24"/>
      <c r="O188" s="25"/>
      <c r="P188" s="24"/>
      <c r="Q188" s="25"/>
      <c r="R188" s="25"/>
      <c r="S188" s="24"/>
      <c r="T188" s="25"/>
      <c r="U188" s="25"/>
      <c r="V188" s="25"/>
    </row>
    <row r="189" spans="1:22" ht="36" x14ac:dyDescent="0.25">
      <c r="A189" s="23" t="s">
        <v>896</v>
      </c>
      <c r="B189" s="279" t="s">
        <v>1845</v>
      </c>
      <c r="C189" s="19" t="s">
        <v>820</v>
      </c>
      <c r="D189" s="13" t="s">
        <v>1443</v>
      </c>
      <c r="E189" s="13" t="s">
        <v>819</v>
      </c>
      <c r="F189" s="13" t="s">
        <v>1455</v>
      </c>
      <c r="G189" s="13" t="s">
        <v>816</v>
      </c>
      <c r="H189" s="13" t="s">
        <v>1586</v>
      </c>
      <c r="I189" s="13"/>
      <c r="J189" s="13"/>
      <c r="K189" s="23" t="s">
        <v>1550</v>
      </c>
      <c r="L189" s="23" t="s">
        <v>1175</v>
      </c>
      <c r="M189" s="259">
        <v>1</v>
      </c>
      <c r="N189" s="24"/>
      <c r="O189" s="25"/>
      <c r="P189" s="24"/>
      <c r="Q189" s="25"/>
      <c r="R189" s="25"/>
      <c r="S189" s="24"/>
      <c r="T189" s="25"/>
      <c r="U189" s="25"/>
      <c r="V189" s="25"/>
    </row>
    <row r="190" spans="1:22" ht="48" x14ac:dyDescent="0.25">
      <c r="A190" s="23" t="s">
        <v>897</v>
      </c>
      <c r="B190" s="279" t="s">
        <v>574</v>
      </c>
      <c r="C190" s="19" t="s">
        <v>821</v>
      </c>
      <c r="D190" s="9" t="s">
        <v>1443</v>
      </c>
      <c r="E190" s="13" t="s">
        <v>396</v>
      </c>
      <c r="F190" s="13" t="s">
        <v>1455</v>
      </c>
      <c r="G190" s="13" t="s">
        <v>816</v>
      </c>
      <c r="H190" s="13" t="s">
        <v>1586</v>
      </c>
      <c r="I190" s="13"/>
      <c r="J190" s="13"/>
      <c r="K190" s="23" t="s">
        <v>1550</v>
      </c>
      <c r="L190" s="23" t="s">
        <v>1176</v>
      </c>
      <c r="M190" s="259">
        <v>1</v>
      </c>
      <c r="N190" s="24"/>
      <c r="O190" s="25"/>
      <c r="P190" s="24"/>
      <c r="Q190" s="25"/>
      <c r="R190" s="25"/>
      <c r="S190" s="24"/>
      <c r="T190" s="25"/>
      <c r="U190" s="25"/>
      <c r="V190" s="25"/>
    </row>
    <row r="191" spans="1:22" ht="36" x14ac:dyDescent="0.25">
      <c r="A191" s="23" t="s">
        <v>898</v>
      </c>
      <c r="B191" s="279" t="s">
        <v>575</v>
      </c>
      <c r="C191" s="30" t="s">
        <v>1216</v>
      </c>
      <c r="D191" s="10" t="s">
        <v>1443</v>
      </c>
      <c r="E191" s="10" t="s">
        <v>396</v>
      </c>
      <c r="F191" s="27" t="s">
        <v>1455</v>
      </c>
      <c r="G191" s="8" t="s">
        <v>816</v>
      </c>
      <c r="H191" s="10"/>
      <c r="I191" s="10"/>
      <c r="J191" s="10"/>
      <c r="K191" s="23" t="s">
        <v>1550</v>
      </c>
      <c r="L191" s="23" t="s">
        <v>1230</v>
      </c>
      <c r="M191" s="59">
        <v>1</v>
      </c>
      <c r="N191" s="24"/>
      <c r="O191" s="25"/>
      <c r="P191" s="24"/>
      <c r="Q191" s="25"/>
      <c r="R191" s="25"/>
      <c r="S191" s="24"/>
      <c r="T191" s="25"/>
      <c r="U191" s="25"/>
      <c r="V191" s="25"/>
    </row>
    <row r="192" spans="1:22" ht="36" x14ac:dyDescent="0.25">
      <c r="A192" s="23" t="s">
        <v>1477</v>
      </c>
      <c r="B192" s="279" t="s">
        <v>576</v>
      </c>
      <c r="C192" s="30" t="s">
        <v>1217</v>
      </c>
      <c r="D192" s="10" t="s">
        <v>1443</v>
      </c>
      <c r="E192" s="10" t="s">
        <v>396</v>
      </c>
      <c r="F192" s="27" t="s">
        <v>1455</v>
      </c>
      <c r="G192" s="8" t="s">
        <v>816</v>
      </c>
      <c r="H192" s="10"/>
      <c r="I192" s="10"/>
      <c r="J192" s="10"/>
      <c r="K192" s="23" t="s">
        <v>1550</v>
      </c>
      <c r="L192" s="23" t="s">
        <v>1231</v>
      </c>
      <c r="M192" s="59">
        <v>1</v>
      </c>
      <c r="N192" s="24"/>
      <c r="O192" s="25"/>
      <c r="P192" s="24"/>
      <c r="Q192" s="25"/>
      <c r="R192" s="25"/>
      <c r="S192" s="24"/>
      <c r="T192" s="25"/>
      <c r="U192" s="25"/>
      <c r="V192" s="25"/>
    </row>
    <row r="193" spans="1:22" ht="48" x14ac:dyDescent="0.25">
      <c r="A193" s="23" t="s">
        <v>1478</v>
      </c>
      <c r="B193" s="279" t="s">
        <v>577</v>
      </c>
      <c r="C193" s="30" t="s">
        <v>1218</v>
      </c>
      <c r="D193" s="10" t="s">
        <v>1443</v>
      </c>
      <c r="E193" s="10" t="s">
        <v>396</v>
      </c>
      <c r="F193" s="27" t="s">
        <v>1455</v>
      </c>
      <c r="G193" s="8" t="s">
        <v>816</v>
      </c>
      <c r="H193" s="10"/>
      <c r="I193" s="10"/>
      <c r="J193" s="10"/>
      <c r="K193" s="23" t="s">
        <v>1550</v>
      </c>
      <c r="L193" s="23" t="s">
        <v>1231</v>
      </c>
      <c r="M193" s="59">
        <v>1</v>
      </c>
      <c r="N193" s="24"/>
      <c r="O193" s="25"/>
      <c r="P193" s="24"/>
      <c r="Q193" s="25"/>
      <c r="R193" s="25"/>
      <c r="S193" s="24"/>
      <c r="T193" s="25"/>
      <c r="U193" s="25"/>
      <c r="V193" s="25"/>
    </row>
    <row r="194" spans="1:22" ht="48" x14ac:dyDescent="0.25">
      <c r="A194" s="30" t="s">
        <v>155</v>
      </c>
      <c r="B194" s="279" t="s">
        <v>578</v>
      </c>
      <c r="C194" s="30" t="s">
        <v>156</v>
      </c>
      <c r="D194" s="10" t="s">
        <v>1584</v>
      </c>
      <c r="E194" s="10" t="s">
        <v>396</v>
      </c>
      <c r="F194" s="27" t="s">
        <v>1436</v>
      </c>
      <c r="G194" s="9" t="s">
        <v>1241</v>
      </c>
      <c r="H194" s="10" t="s">
        <v>1586</v>
      </c>
      <c r="I194" s="10"/>
      <c r="J194" s="10"/>
      <c r="K194" s="258" t="s">
        <v>1161</v>
      </c>
      <c r="L194" s="23" t="s">
        <v>158</v>
      </c>
      <c r="M194" s="59">
        <v>290</v>
      </c>
      <c r="N194" s="24" t="s">
        <v>157</v>
      </c>
      <c r="O194" s="258" t="s">
        <v>1054</v>
      </c>
      <c r="P194" s="24">
        <v>1</v>
      </c>
      <c r="Q194" s="25"/>
      <c r="R194" s="25"/>
      <c r="S194" s="24"/>
      <c r="T194" s="25"/>
      <c r="U194" s="25"/>
      <c r="V194" s="25"/>
    </row>
    <row r="195" spans="1:22" ht="48" x14ac:dyDescent="0.25">
      <c r="A195" s="30" t="s">
        <v>159</v>
      </c>
      <c r="B195" s="279" t="s">
        <v>579</v>
      </c>
      <c r="C195" s="30" t="s">
        <v>169</v>
      </c>
      <c r="D195" s="10" t="s">
        <v>1590</v>
      </c>
      <c r="E195" s="10" t="s">
        <v>396</v>
      </c>
      <c r="F195" s="27" t="s">
        <v>1446</v>
      </c>
      <c r="G195" s="9" t="s">
        <v>1241</v>
      </c>
      <c r="H195" s="10" t="s">
        <v>1586</v>
      </c>
      <c r="I195" s="10"/>
      <c r="J195" s="10"/>
      <c r="K195" s="258" t="s">
        <v>1161</v>
      </c>
      <c r="L195" s="23" t="s">
        <v>158</v>
      </c>
      <c r="M195" s="59">
        <v>250</v>
      </c>
      <c r="N195" s="24" t="s">
        <v>157</v>
      </c>
      <c r="O195" s="258" t="s">
        <v>1054</v>
      </c>
      <c r="P195" s="24">
        <v>1</v>
      </c>
      <c r="Q195" s="25"/>
      <c r="R195" s="25"/>
      <c r="S195" s="24"/>
      <c r="T195" s="25"/>
      <c r="U195" s="25"/>
      <c r="V195" s="25"/>
    </row>
    <row r="196" spans="1:22" ht="48" x14ac:dyDescent="0.25">
      <c r="A196" s="30" t="s">
        <v>160</v>
      </c>
      <c r="B196" s="279" t="s">
        <v>580</v>
      </c>
      <c r="C196" s="30" t="s">
        <v>161</v>
      </c>
      <c r="D196" s="11" t="s">
        <v>1145</v>
      </c>
      <c r="E196" s="11" t="s">
        <v>396</v>
      </c>
      <c r="F196" s="47" t="s">
        <v>1147</v>
      </c>
      <c r="G196" s="14" t="s">
        <v>1241</v>
      </c>
      <c r="H196" s="11" t="s">
        <v>1586</v>
      </c>
      <c r="I196" s="10"/>
      <c r="J196" s="10"/>
      <c r="K196" s="258" t="s">
        <v>1161</v>
      </c>
      <c r="L196" s="23" t="s">
        <v>158</v>
      </c>
      <c r="M196" s="59">
        <v>500</v>
      </c>
      <c r="N196" s="24" t="s">
        <v>157</v>
      </c>
      <c r="O196" s="258" t="s">
        <v>1054</v>
      </c>
      <c r="P196" s="24">
        <v>1</v>
      </c>
      <c r="Q196" s="25"/>
      <c r="R196" s="25"/>
      <c r="S196" s="24"/>
      <c r="T196" s="25"/>
      <c r="U196" s="25"/>
      <c r="V196" s="25"/>
    </row>
    <row r="197" spans="1:22" ht="144" x14ac:dyDescent="0.25">
      <c r="A197" s="294" t="s">
        <v>374</v>
      </c>
      <c r="B197" s="279" t="s">
        <v>581</v>
      </c>
      <c r="C197" s="31" t="s">
        <v>375</v>
      </c>
      <c r="D197" s="32" t="s">
        <v>376</v>
      </c>
      <c r="E197" s="32" t="s">
        <v>396</v>
      </c>
      <c r="F197" s="32" t="s">
        <v>1446</v>
      </c>
      <c r="G197" s="287" t="s">
        <v>1240</v>
      </c>
      <c r="H197" s="32" t="s">
        <v>1586</v>
      </c>
      <c r="I197" s="31" t="s">
        <v>1680</v>
      </c>
      <c r="J197" s="31"/>
      <c r="K197" s="283" t="s">
        <v>1051</v>
      </c>
      <c r="L197" s="283" t="s">
        <v>1052</v>
      </c>
      <c r="M197" s="284">
        <v>1</v>
      </c>
      <c r="N197" s="299" t="s">
        <v>1161</v>
      </c>
      <c r="O197" s="308" t="s">
        <v>366</v>
      </c>
      <c r="P197" s="299">
        <v>50</v>
      </c>
      <c r="Q197" s="299" t="s">
        <v>367</v>
      </c>
      <c r="R197" s="31" t="s">
        <v>368</v>
      </c>
      <c r="S197" s="299">
        <v>108</v>
      </c>
      <c r="T197" s="31" t="s">
        <v>369</v>
      </c>
      <c r="U197" s="31" t="s">
        <v>370</v>
      </c>
      <c r="V197" s="299">
        <v>3</v>
      </c>
    </row>
    <row r="198" spans="1:22" ht="144" x14ac:dyDescent="0.25">
      <c r="A198" s="31" t="s">
        <v>377</v>
      </c>
      <c r="B198" s="279" t="s">
        <v>582</v>
      </c>
      <c r="C198" s="281" t="s">
        <v>1679</v>
      </c>
      <c r="D198" s="287" t="s">
        <v>1584</v>
      </c>
      <c r="E198" s="34" t="s">
        <v>396</v>
      </c>
      <c r="F198" s="32" t="s">
        <v>1436</v>
      </c>
      <c r="G198" s="287" t="s">
        <v>1240</v>
      </c>
      <c r="H198" s="300" t="s">
        <v>1586</v>
      </c>
      <c r="I198" s="31"/>
      <c r="J198" s="31"/>
      <c r="K198" s="283" t="s">
        <v>1051</v>
      </c>
      <c r="L198" s="283" t="s">
        <v>1052</v>
      </c>
      <c r="M198" s="284">
        <v>1</v>
      </c>
      <c r="N198" s="299" t="s">
        <v>1161</v>
      </c>
      <c r="O198" s="308" t="s">
        <v>366</v>
      </c>
      <c r="P198" s="299">
        <v>100</v>
      </c>
      <c r="Q198" s="299" t="s">
        <v>367</v>
      </c>
      <c r="R198" s="31" t="s">
        <v>368</v>
      </c>
      <c r="S198" s="299">
        <v>34</v>
      </c>
      <c r="T198" s="31" t="s">
        <v>369</v>
      </c>
      <c r="U198" s="31" t="s">
        <v>370</v>
      </c>
      <c r="V198" s="299">
        <v>2</v>
      </c>
    </row>
    <row r="199" spans="1:22" ht="48" x14ac:dyDescent="0.25">
      <c r="A199" s="42" t="s">
        <v>952</v>
      </c>
      <c r="B199" s="86"/>
      <c r="C199" s="42" t="s">
        <v>953</v>
      </c>
      <c r="D199" s="99"/>
      <c r="E199" s="99"/>
      <c r="F199" s="99"/>
      <c r="G199" s="104"/>
      <c r="H199" s="99"/>
      <c r="I199" s="99"/>
      <c r="J199" s="99"/>
      <c r="K199" s="106"/>
      <c r="L199" s="106"/>
      <c r="M199" s="257"/>
      <c r="N199" s="105"/>
      <c r="O199" s="106"/>
      <c r="P199" s="105"/>
      <c r="Q199" s="106"/>
      <c r="R199" s="106"/>
      <c r="S199" s="105"/>
      <c r="T199" s="106"/>
      <c r="U199" s="106"/>
      <c r="V199" s="106"/>
    </row>
    <row r="200" spans="1:22" ht="153.75" customHeight="1" x14ac:dyDescent="0.25">
      <c r="A200" s="428" t="s">
        <v>1710</v>
      </c>
      <c r="B200" s="436"/>
      <c r="C200" s="428" t="s">
        <v>1698</v>
      </c>
      <c r="D200" s="463"/>
      <c r="E200" s="463"/>
      <c r="F200" s="463"/>
      <c r="G200" s="463"/>
      <c r="H200" s="463"/>
      <c r="I200" s="463"/>
      <c r="J200" s="463"/>
      <c r="K200" s="460"/>
      <c r="L200" s="460"/>
      <c r="M200" s="461"/>
      <c r="N200" s="462"/>
      <c r="O200" s="460"/>
      <c r="P200" s="462"/>
      <c r="Q200" s="460"/>
      <c r="R200" s="460"/>
      <c r="S200" s="462"/>
      <c r="T200" s="460"/>
      <c r="U200" s="460"/>
      <c r="V200" s="460"/>
    </row>
    <row r="201" spans="1:22" ht="72" x14ac:dyDescent="0.25">
      <c r="A201" s="23" t="s">
        <v>822</v>
      </c>
      <c r="B201" s="279" t="s">
        <v>583</v>
      </c>
      <c r="C201" s="36" t="s">
        <v>361</v>
      </c>
      <c r="D201" s="13" t="s">
        <v>1443</v>
      </c>
      <c r="E201" s="13" t="s">
        <v>776</v>
      </c>
      <c r="F201" s="13" t="s">
        <v>1455</v>
      </c>
      <c r="G201" s="13" t="s">
        <v>1235</v>
      </c>
      <c r="H201" s="17" t="s">
        <v>1586</v>
      </c>
      <c r="I201" s="13"/>
      <c r="J201" s="13"/>
      <c r="K201" s="23" t="s">
        <v>1082</v>
      </c>
      <c r="L201" s="23" t="s">
        <v>1083</v>
      </c>
      <c r="M201" s="259">
        <v>1</v>
      </c>
      <c r="N201" s="24"/>
      <c r="O201" s="25"/>
      <c r="P201" s="24"/>
      <c r="Q201" s="25"/>
      <c r="R201" s="25"/>
      <c r="S201" s="24"/>
      <c r="T201" s="25"/>
      <c r="U201" s="25"/>
      <c r="V201" s="25"/>
    </row>
    <row r="202" spans="1:22" ht="212.25" customHeight="1" x14ac:dyDescent="0.25">
      <c r="A202" s="31" t="s">
        <v>152</v>
      </c>
      <c r="B202" s="279" t="s">
        <v>584</v>
      </c>
      <c r="C202" s="19" t="s">
        <v>1688</v>
      </c>
      <c r="D202" s="11" t="s">
        <v>850</v>
      </c>
      <c r="E202" s="11" t="s">
        <v>1585</v>
      </c>
      <c r="F202" s="10" t="s">
        <v>1400</v>
      </c>
      <c r="G202" s="10" t="s">
        <v>121</v>
      </c>
      <c r="H202" s="11" t="s">
        <v>1586</v>
      </c>
      <c r="I202" s="10"/>
      <c r="J202" s="10"/>
      <c r="K202" s="258" t="s">
        <v>1082</v>
      </c>
      <c r="L202" s="258" t="s">
        <v>1689</v>
      </c>
      <c r="M202" s="59">
        <v>2</v>
      </c>
      <c r="N202" s="258" t="s">
        <v>1084</v>
      </c>
      <c r="O202" s="258" t="s">
        <v>1248</v>
      </c>
      <c r="P202" s="24">
        <v>30</v>
      </c>
      <c r="Q202" s="258"/>
      <c r="R202" s="258"/>
      <c r="S202" s="10"/>
      <c r="T202" s="25"/>
      <c r="U202" s="25"/>
      <c r="V202" s="25"/>
    </row>
    <row r="203" spans="1:22" ht="96" x14ac:dyDescent="0.25">
      <c r="A203" s="31" t="s">
        <v>166</v>
      </c>
      <c r="B203" s="279" t="s">
        <v>585</v>
      </c>
      <c r="C203" s="19" t="s">
        <v>167</v>
      </c>
      <c r="D203" s="11" t="s">
        <v>1589</v>
      </c>
      <c r="E203" s="11" t="s">
        <v>1585</v>
      </c>
      <c r="F203" s="10" t="s">
        <v>1441</v>
      </c>
      <c r="G203" s="10" t="s">
        <v>121</v>
      </c>
      <c r="H203" s="11" t="s">
        <v>1586</v>
      </c>
      <c r="I203" s="10"/>
      <c r="J203" s="10"/>
      <c r="K203" s="258" t="s">
        <v>1082</v>
      </c>
      <c r="L203" s="258" t="s">
        <v>1083</v>
      </c>
      <c r="M203" s="59">
        <v>2</v>
      </c>
      <c r="N203" s="258" t="s">
        <v>1084</v>
      </c>
      <c r="O203" s="258" t="s">
        <v>1248</v>
      </c>
      <c r="P203" s="24">
        <v>70</v>
      </c>
      <c r="Q203" s="258" t="s">
        <v>1690</v>
      </c>
      <c r="R203" s="258" t="s">
        <v>1691</v>
      </c>
      <c r="S203" s="10">
        <v>1</v>
      </c>
      <c r="T203" s="25"/>
      <c r="U203" s="25"/>
      <c r="V203" s="25"/>
    </row>
    <row r="204" spans="1:22" ht="96" x14ac:dyDescent="0.25">
      <c r="A204" s="31" t="s">
        <v>1692</v>
      </c>
      <c r="B204" s="279" t="s">
        <v>586</v>
      </c>
      <c r="C204" s="19" t="s">
        <v>1693</v>
      </c>
      <c r="D204" s="11" t="s">
        <v>1587</v>
      </c>
      <c r="E204" s="11" t="s">
        <v>1585</v>
      </c>
      <c r="F204" s="10" t="s">
        <v>1454</v>
      </c>
      <c r="G204" s="10" t="s">
        <v>121</v>
      </c>
      <c r="H204" s="11" t="s">
        <v>1586</v>
      </c>
      <c r="I204" s="10"/>
      <c r="J204" s="10"/>
      <c r="K204" s="258" t="s">
        <v>1082</v>
      </c>
      <c r="L204" s="258" t="s">
        <v>1083</v>
      </c>
      <c r="M204" s="59">
        <v>1</v>
      </c>
      <c r="N204" s="258" t="s">
        <v>1084</v>
      </c>
      <c r="O204" s="258" t="s">
        <v>1248</v>
      </c>
      <c r="P204" s="313">
        <v>25</v>
      </c>
      <c r="Q204" s="258" t="s">
        <v>1690</v>
      </c>
      <c r="R204" s="258" t="s">
        <v>1691</v>
      </c>
      <c r="S204" s="10">
        <v>1</v>
      </c>
      <c r="T204" s="25"/>
      <c r="U204" s="25"/>
      <c r="V204" s="25"/>
    </row>
    <row r="205" spans="1:22" ht="96" x14ac:dyDescent="0.25">
      <c r="A205" s="31" t="s">
        <v>1694</v>
      </c>
      <c r="B205" s="279" t="s">
        <v>587</v>
      </c>
      <c r="C205" s="19" t="s">
        <v>1695</v>
      </c>
      <c r="D205" s="11" t="s">
        <v>850</v>
      </c>
      <c r="E205" s="11" t="s">
        <v>1585</v>
      </c>
      <c r="F205" s="10" t="s">
        <v>1400</v>
      </c>
      <c r="G205" s="10" t="s">
        <v>121</v>
      </c>
      <c r="H205" s="11" t="s">
        <v>1586</v>
      </c>
      <c r="I205" s="10"/>
      <c r="J205" s="10"/>
      <c r="K205" s="258" t="s">
        <v>1082</v>
      </c>
      <c r="L205" s="258" t="s">
        <v>1689</v>
      </c>
      <c r="M205" s="59">
        <v>2</v>
      </c>
      <c r="N205" s="258" t="s">
        <v>1084</v>
      </c>
      <c r="O205" s="258" t="s">
        <v>1248</v>
      </c>
      <c r="P205" s="24">
        <v>30</v>
      </c>
      <c r="Q205" s="258"/>
      <c r="R205" s="258"/>
      <c r="S205" s="10"/>
      <c r="T205" s="25"/>
      <c r="U205" s="25"/>
      <c r="V205" s="25"/>
    </row>
    <row r="206" spans="1:22" ht="96" x14ac:dyDescent="0.25">
      <c r="A206" s="31" t="s">
        <v>1696</v>
      </c>
      <c r="B206" s="279" t="s">
        <v>588</v>
      </c>
      <c r="C206" s="19" t="s">
        <v>1697</v>
      </c>
      <c r="D206" s="11" t="s">
        <v>1580</v>
      </c>
      <c r="E206" s="11" t="s">
        <v>1585</v>
      </c>
      <c r="F206" s="10" t="s">
        <v>1456</v>
      </c>
      <c r="G206" s="10" t="s">
        <v>121</v>
      </c>
      <c r="H206" s="11" t="s">
        <v>1586</v>
      </c>
      <c r="I206" s="10"/>
      <c r="J206" s="10"/>
      <c r="K206" s="258" t="s">
        <v>1082</v>
      </c>
      <c r="L206" s="258" t="s">
        <v>1083</v>
      </c>
      <c r="M206" s="59">
        <v>19</v>
      </c>
      <c r="N206" s="258" t="s">
        <v>1084</v>
      </c>
      <c r="O206" s="258" t="s">
        <v>1248</v>
      </c>
      <c r="P206" s="313">
        <v>23</v>
      </c>
      <c r="Q206" s="258" t="s">
        <v>1690</v>
      </c>
      <c r="R206" s="258" t="s">
        <v>1691</v>
      </c>
      <c r="S206" s="10">
        <v>1</v>
      </c>
      <c r="T206" s="25"/>
      <c r="U206" s="25"/>
      <c r="V206" s="25"/>
    </row>
    <row r="207" spans="1:22" ht="36" x14ac:dyDescent="0.25">
      <c r="A207" s="428" t="s">
        <v>1711</v>
      </c>
      <c r="B207" s="436"/>
      <c r="C207" s="428" t="s">
        <v>1716</v>
      </c>
      <c r="D207" s="463"/>
      <c r="E207" s="463"/>
      <c r="F207" s="463"/>
      <c r="G207" s="463"/>
      <c r="H207" s="463"/>
      <c r="I207" s="463"/>
      <c r="J207" s="463"/>
      <c r="K207" s="460"/>
      <c r="L207" s="460"/>
      <c r="M207" s="461"/>
      <c r="N207" s="462"/>
      <c r="O207" s="460"/>
      <c r="P207" s="462"/>
      <c r="Q207" s="460"/>
      <c r="R207" s="460"/>
      <c r="S207" s="462"/>
      <c r="T207" s="460"/>
      <c r="U207" s="460"/>
      <c r="V207" s="460"/>
    </row>
    <row r="208" spans="1:22" ht="36" x14ac:dyDescent="0.25">
      <c r="A208" s="428" t="s">
        <v>1712</v>
      </c>
      <c r="B208" s="436"/>
      <c r="C208" s="428" t="s">
        <v>1717</v>
      </c>
      <c r="D208" s="463"/>
      <c r="E208" s="463"/>
      <c r="F208" s="463"/>
      <c r="G208" s="463"/>
      <c r="H208" s="463"/>
      <c r="I208" s="463"/>
      <c r="J208" s="463"/>
      <c r="K208" s="460"/>
      <c r="L208" s="460"/>
      <c r="M208" s="461"/>
      <c r="N208" s="462"/>
      <c r="O208" s="460"/>
      <c r="P208" s="462"/>
      <c r="Q208" s="460"/>
      <c r="R208" s="460"/>
      <c r="S208" s="462"/>
      <c r="T208" s="460"/>
      <c r="U208" s="460"/>
      <c r="V208" s="460"/>
    </row>
    <row r="209" spans="1:22" ht="48" x14ac:dyDescent="0.25">
      <c r="A209" s="428" t="s">
        <v>1713</v>
      </c>
      <c r="B209" s="436"/>
      <c r="C209" s="428" t="s">
        <v>1718</v>
      </c>
      <c r="D209" s="463"/>
      <c r="E209" s="463"/>
      <c r="F209" s="463"/>
      <c r="G209" s="463"/>
      <c r="H209" s="463"/>
      <c r="I209" s="463"/>
      <c r="J209" s="463"/>
      <c r="K209" s="460"/>
      <c r="L209" s="460"/>
      <c r="M209" s="461"/>
      <c r="N209" s="462"/>
      <c r="O209" s="460"/>
      <c r="P209" s="462"/>
      <c r="Q209" s="460"/>
      <c r="R209" s="460"/>
      <c r="S209" s="462"/>
      <c r="T209" s="460"/>
      <c r="U209" s="460"/>
      <c r="V209" s="460"/>
    </row>
    <row r="210" spans="1:22" ht="36" x14ac:dyDescent="0.25">
      <c r="A210" s="43" t="s">
        <v>1638</v>
      </c>
      <c r="B210" s="44"/>
      <c r="C210" s="43" t="s">
        <v>1639</v>
      </c>
      <c r="D210" s="104"/>
      <c r="E210" s="104"/>
      <c r="F210" s="104"/>
      <c r="G210" s="104"/>
      <c r="H210" s="104"/>
      <c r="I210" s="104"/>
      <c r="J210" s="104"/>
      <c r="K210" s="106"/>
      <c r="L210" s="106"/>
      <c r="M210" s="257"/>
      <c r="N210" s="105"/>
      <c r="O210" s="106"/>
      <c r="P210" s="105"/>
      <c r="Q210" s="106"/>
      <c r="R210" s="106"/>
      <c r="S210" s="105"/>
      <c r="T210" s="106"/>
      <c r="U210" s="106"/>
      <c r="V210" s="106"/>
    </row>
    <row r="211" spans="1:22" ht="84" x14ac:dyDescent="0.25">
      <c r="A211" s="428" t="s">
        <v>1719</v>
      </c>
      <c r="B211" s="436"/>
      <c r="C211" s="428" t="s">
        <v>1747</v>
      </c>
      <c r="D211" s="463"/>
      <c r="E211" s="463"/>
      <c r="F211" s="463"/>
      <c r="G211" s="463"/>
      <c r="H211" s="463"/>
      <c r="I211" s="463"/>
      <c r="J211" s="463"/>
      <c r="K211" s="460"/>
      <c r="L211" s="460"/>
      <c r="M211" s="461"/>
      <c r="N211" s="462"/>
      <c r="O211" s="460"/>
      <c r="P211" s="462"/>
      <c r="Q211" s="460"/>
      <c r="R211" s="460"/>
      <c r="S211" s="462"/>
      <c r="T211" s="460"/>
      <c r="U211" s="460"/>
      <c r="V211" s="460"/>
    </row>
    <row r="212" spans="1:22" ht="36" x14ac:dyDescent="0.25">
      <c r="A212" s="23" t="s">
        <v>823</v>
      </c>
      <c r="B212" s="279" t="s">
        <v>589</v>
      </c>
      <c r="C212" s="31" t="s">
        <v>153</v>
      </c>
      <c r="D212" s="10" t="s">
        <v>1587</v>
      </c>
      <c r="E212" s="10" t="s">
        <v>396</v>
      </c>
      <c r="F212" s="10" t="s">
        <v>1454</v>
      </c>
      <c r="G212" s="33" t="s">
        <v>1410</v>
      </c>
      <c r="H212" s="10" t="s">
        <v>1586</v>
      </c>
      <c r="I212" s="10"/>
      <c r="J212" s="10"/>
      <c r="K212" s="23" t="s">
        <v>1055</v>
      </c>
      <c r="L212" s="23" t="s">
        <v>1056</v>
      </c>
      <c r="M212" s="59">
        <v>1</v>
      </c>
      <c r="N212" s="24" t="s">
        <v>1161</v>
      </c>
      <c r="O212" s="23" t="s">
        <v>1162</v>
      </c>
      <c r="P212" s="10">
        <v>756</v>
      </c>
      <c r="Q212" s="25"/>
      <c r="R212" s="25"/>
      <c r="S212" s="24"/>
      <c r="T212" s="25"/>
      <c r="U212" s="25"/>
      <c r="V212" s="25"/>
    </row>
    <row r="213" spans="1:22" ht="48" x14ac:dyDescent="0.25">
      <c r="A213" s="23" t="s">
        <v>899</v>
      </c>
      <c r="B213" s="279" t="s">
        <v>590</v>
      </c>
      <c r="C213" s="19" t="s">
        <v>135</v>
      </c>
      <c r="D213" s="13" t="s">
        <v>1443</v>
      </c>
      <c r="E213" s="15" t="s">
        <v>396</v>
      </c>
      <c r="F213" s="13" t="s">
        <v>1455</v>
      </c>
      <c r="G213" s="33" t="s">
        <v>1410</v>
      </c>
      <c r="H213" s="17" t="s">
        <v>1586</v>
      </c>
      <c r="I213" s="13"/>
      <c r="J213" s="13"/>
      <c r="K213" s="23" t="s">
        <v>1055</v>
      </c>
      <c r="L213" s="23" t="s">
        <v>1056</v>
      </c>
      <c r="M213" s="259">
        <v>1</v>
      </c>
      <c r="N213" s="24" t="s">
        <v>1161</v>
      </c>
      <c r="O213" s="23" t="s">
        <v>1162</v>
      </c>
      <c r="P213" s="24">
        <v>480</v>
      </c>
      <c r="Q213" s="25"/>
      <c r="R213" s="25"/>
      <c r="S213" s="24"/>
      <c r="T213" s="25"/>
      <c r="U213" s="25"/>
      <c r="V213" s="25"/>
    </row>
    <row r="214" spans="1:22" ht="72" x14ac:dyDescent="0.25">
      <c r="A214" s="23" t="s">
        <v>900</v>
      </c>
      <c r="B214" s="279" t="s">
        <v>591</v>
      </c>
      <c r="C214" s="23" t="s">
        <v>859</v>
      </c>
      <c r="D214" s="10" t="s">
        <v>860</v>
      </c>
      <c r="E214" s="10" t="s">
        <v>396</v>
      </c>
      <c r="F214" s="10" t="s">
        <v>1400</v>
      </c>
      <c r="G214" s="9" t="s">
        <v>1410</v>
      </c>
      <c r="H214" s="10" t="s">
        <v>1586</v>
      </c>
      <c r="I214" s="10" t="s">
        <v>1582</v>
      </c>
      <c r="J214" s="10"/>
      <c r="K214" s="25" t="s">
        <v>1081</v>
      </c>
      <c r="L214" s="258" t="s">
        <v>118</v>
      </c>
      <c r="M214" s="259">
        <v>1</v>
      </c>
      <c r="N214" s="24" t="s">
        <v>1055</v>
      </c>
      <c r="O214" s="23" t="s">
        <v>1163</v>
      </c>
      <c r="P214" s="24">
        <v>1</v>
      </c>
      <c r="Q214" s="25" t="s">
        <v>1161</v>
      </c>
      <c r="R214" s="23" t="s">
        <v>1162</v>
      </c>
      <c r="S214" s="24">
        <v>245</v>
      </c>
      <c r="T214" s="25"/>
      <c r="U214" s="25"/>
      <c r="V214" s="25"/>
    </row>
    <row r="215" spans="1:22" ht="210" customHeight="1" x14ac:dyDescent="0.25">
      <c r="A215" s="23" t="s">
        <v>901</v>
      </c>
      <c r="B215" s="279" t="s">
        <v>592</v>
      </c>
      <c r="C215" s="23" t="s">
        <v>1198</v>
      </c>
      <c r="D215" s="10" t="s">
        <v>173</v>
      </c>
      <c r="E215" s="10" t="s">
        <v>396</v>
      </c>
      <c r="F215" s="10" t="s">
        <v>1400</v>
      </c>
      <c r="G215" s="9" t="s">
        <v>1410</v>
      </c>
      <c r="H215" s="10" t="s">
        <v>1586</v>
      </c>
      <c r="I215" s="10" t="s">
        <v>1582</v>
      </c>
      <c r="J215" s="10"/>
      <c r="K215" s="25" t="s">
        <v>1081</v>
      </c>
      <c r="L215" s="258" t="s">
        <v>118</v>
      </c>
      <c r="M215" s="259">
        <v>1</v>
      </c>
      <c r="N215" s="24" t="s">
        <v>1055</v>
      </c>
      <c r="O215" s="23" t="s">
        <v>1163</v>
      </c>
      <c r="P215" s="24">
        <v>1</v>
      </c>
      <c r="Q215" s="25" t="s">
        <v>1161</v>
      </c>
      <c r="R215" s="23" t="s">
        <v>1162</v>
      </c>
      <c r="S215" s="24">
        <v>732</v>
      </c>
      <c r="T215" s="25"/>
      <c r="U215" s="25"/>
      <c r="V215" s="25"/>
    </row>
    <row r="216" spans="1:22" ht="72" x14ac:dyDescent="0.25">
      <c r="A216" s="23" t="s">
        <v>902</v>
      </c>
      <c r="B216" s="279" t="s">
        <v>593</v>
      </c>
      <c r="C216" s="23" t="s">
        <v>1199</v>
      </c>
      <c r="D216" s="10" t="s">
        <v>850</v>
      </c>
      <c r="E216" s="10" t="s">
        <v>396</v>
      </c>
      <c r="F216" s="10" t="s">
        <v>1400</v>
      </c>
      <c r="G216" s="9" t="s">
        <v>1410</v>
      </c>
      <c r="H216" s="10" t="s">
        <v>1586</v>
      </c>
      <c r="I216" s="10" t="s">
        <v>1582</v>
      </c>
      <c r="J216" s="10"/>
      <c r="K216" s="25" t="s">
        <v>1081</v>
      </c>
      <c r="L216" s="258" t="s">
        <v>118</v>
      </c>
      <c r="M216" s="259">
        <v>1</v>
      </c>
      <c r="N216" s="24" t="s">
        <v>1055</v>
      </c>
      <c r="O216" s="23" t="s">
        <v>1163</v>
      </c>
      <c r="P216" s="24">
        <v>1</v>
      </c>
      <c r="Q216" s="25" t="s">
        <v>1161</v>
      </c>
      <c r="R216" s="23" t="s">
        <v>1162</v>
      </c>
      <c r="S216" s="24">
        <v>891</v>
      </c>
      <c r="T216" s="25"/>
      <c r="U216" s="25"/>
      <c r="V216" s="25"/>
    </row>
    <row r="217" spans="1:22" ht="36" x14ac:dyDescent="0.25">
      <c r="A217" s="23" t="s">
        <v>136</v>
      </c>
      <c r="B217" s="279" t="s">
        <v>594</v>
      </c>
      <c r="C217" s="23" t="s">
        <v>137</v>
      </c>
      <c r="D217" s="10" t="s">
        <v>1580</v>
      </c>
      <c r="E217" s="10" t="s">
        <v>396</v>
      </c>
      <c r="F217" s="10" t="s">
        <v>1456</v>
      </c>
      <c r="G217" s="9" t="s">
        <v>1410</v>
      </c>
      <c r="H217" s="10" t="s">
        <v>1586</v>
      </c>
      <c r="I217" s="10"/>
      <c r="J217" s="10"/>
      <c r="K217" s="258" t="s">
        <v>1055</v>
      </c>
      <c r="L217" s="258" t="s">
        <v>1056</v>
      </c>
      <c r="M217" s="259">
        <v>2</v>
      </c>
      <c r="N217" s="25" t="s">
        <v>1161</v>
      </c>
      <c r="O217" s="23" t="s">
        <v>1162</v>
      </c>
      <c r="P217" s="259">
        <v>800</v>
      </c>
      <c r="Q217" s="25"/>
      <c r="R217" s="25"/>
      <c r="S217" s="24"/>
      <c r="T217" s="25"/>
      <c r="U217" s="25"/>
      <c r="V217" s="25"/>
    </row>
    <row r="218" spans="1:22" ht="36" x14ac:dyDescent="0.25">
      <c r="A218" s="23" t="s">
        <v>142</v>
      </c>
      <c r="B218" s="279" t="s">
        <v>595</v>
      </c>
      <c r="C218" s="23" t="s">
        <v>143</v>
      </c>
      <c r="D218" s="10" t="s">
        <v>1590</v>
      </c>
      <c r="E218" s="10" t="s">
        <v>396</v>
      </c>
      <c r="F218" s="10" t="s">
        <v>1446</v>
      </c>
      <c r="G218" s="9" t="s">
        <v>1410</v>
      </c>
      <c r="H218" s="10" t="s">
        <v>1586</v>
      </c>
      <c r="I218" s="10"/>
      <c r="J218" s="10"/>
      <c r="K218" s="25" t="s">
        <v>1161</v>
      </c>
      <c r="L218" s="23" t="s">
        <v>1162</v>
      </c>
      <c r="M218" s="259">
        <v>180</v>
      </c>
      <c r="N218" s="258" t="s">
        <v>1055</v>
      </c>
      <c r="O218" s="258" t="s">
        <v>1056</v>
      </c>
      <c r="P218" s="259">
        <v>1</v>
      </c>
      <c r="Q218" s="25"/>
      <c r="R218" s="25"/>
      <c r="S218" s="24"/>
      <c r="T218" s="25"/>
      <c r="U218" s="25"/>
      <c r="V218" s="25"/>
    </row>
    <row r="219" spans="1:22" ht="36" x14ac:dyDescent="0.25">
      <c r="A219" s="23" t="s">
        <v>145</v>
      </c>
      <c r="B219" s="279" t="s">
        <v>596</v>
      </c>
      <c r="C219" s="23" t="s">
        <v>146</v>
      </c>
      <c r="D219" s="10" t="s">
        <v>1584</v>
      </c>
      <c r="E219" s="10" t="s">
        <v>396</v>
      </c>
      <c r="F219" s="10" t="s">
        <v>1436</v>
      </c>
      <c r="G219" s="9" t="s">
        <v>1410</v>
      </c>
      <c r="H219" s="10" t="s">
        <v>1586</v>
      </c>
      <c r="I219" s="10"/>
      <c r="J219" s="10"/>
      <c r="K219" s="25" t="s">
        <v>1161</v>
      </c>
      <c r="L219" s="23" t="s">
        <v>1162</v>
      </c>
      <c r="M219" s="259">
        <v>300</v>
      </c>
      <c r="N219" s="258" t="s">
        <v>1055</v>
      </c>
      <c r="O219" s="258" t="s">
        <v>1056</v>
      </c>
      <c r="P219" s="259">
        <v>1</v>
      </c>
      <c r="Q219" s="25"/>
      <c r="R219" s="25"/>
      <c r="S219" s="24"/>
      <c r="T219" s="25"/>
      <c r="U219" s="25"/>
      <c r="V219" s="25"/>
    </row>
    <row r="220" spans="1:22" ht="36" x14ac:dyDescent="0.25">
      <c r="A220" s="23" t="s">
        <v>147</v>
      </c>
      <c r="B220" s="279" t="s">
        <v>597</v>
      </c>
      <c r="C220" s="23" t="s">
        <v>148</v>
      </c>
      <c r="D220" s="10" t="s">
        <v>1145</v>
      </c>
      <c r="E220" s="10" t="s">
        <v>396</v>
      </c>
      <c r="F220" s="10" t="s">
        <v>1147</v>
      </c>
      <c r="G220" s="9" t="s">
        <v>1410</v>
      </c>
      <c r="H220" s="10" t="s">
        <v>1586</v>
      </c>
      <c r="I220" s="10"/>
      <c r="J220" s="10"/>
      <c r="K220" s="25" t="s">
        <v>1161</v>
      </c>
      <c r="L220" s="23" t="s">
        <v>1162</v>
      </c>
      <c r="M220" s="259">
        <v>1</v>
      </c>
      <c r="N220" s="258" t="s">
        <v>1055</v>
      </c>
      <c r="O220" s="258" t="s">
        <v>1056</v>
      </c>
      <c r="P220" s="259">
        <v>1</v>
      </c>
      <c r="Q220" s="25"/>
      <c r="R220" s="25"/>
      <c r="S220" s="24"/>
      <c r="T220" s="25"/>
      <c r="U220" s="25"/>
      <c r="V220" s="25"/>
    </row>
    <row r="221" spans="1:22" ht="72" x14ac:dyDescent="0.25">
      <c r="A221" s="428" t="s">
        <v>1720</v>
      </c>
      <c r="B221" s="436"/>
      <c r="C221" s="428" t="s">
        <v>1748</v>
      </c>
      <c r="D221" s="463"/>
      <c r="E221" s="463"/>
      <c r="F221" s="463"/>
      <c r="G221" s="463"/>
      <c r="H221" s="463"/>
      <c r="I221" s="463"/>
      <c r="J221" s="463"/>
      <c r="K221" s="460"/>
      <c r="L221" s="460"/>
      <c r="M221" s="461"/>
      <c r="N221" s="462"/>
      <c r="O221" s="460"/>
      <c r="P221" s="462"/>
      <c r="Q221" s="460"/>
      <c r="R221" s="460"/>
      <c r="S221" s="462"/>
      <c r="T221" s="460"/>
      <c r="U221" s="460"/>
      <c r="V221" s="460"/>
    </row>
    <row r="222" spans="1:22" ht="36" x14ac:dyDescent="0.25">
      <c r="A222" s="41" t="s">
        <v>1603</v>
      </c>
      <c r="B222" s="45"/>
      <c r="C222" s="41" t="s">
        <v>1602</v>
      </c>
      <c r="D222" s="101"/>
      <c r="E222" s="101"/>
      <c r="F222" s="101"/>
      <c r="G222" s="101"/>
      <c r="H222" s="101"/>
      <c r="I222" s="101"/>
      <c r="J222" s="101"/>
      <c r="K222" s="103"/>
      <c r="L222" s="103"/>
      <c r="M222" s="256"/>
      <c r="N222" s="102"/>
      <c r="O222" s="103"/>
      <c r="P222" s="102"/>
      <c r="Q222" s="103"/>
      <c r="R222" s="103"/>
      <c r="S222" s="102"/>
      <c r="T222" s="103"/>
      <c r="U222" s="103"/>
      <c r="V222" s="103"/>
    </row>
    <row r="223" spans="1:22" ht="84" x14ac:dyDescent="0.25">
      <c r="A223" s="43" t="s">
        <v>1640</v>
      </c>
      <c r="B223" s="44"/>
      <c r="C223" s="43" t="s">
        <v>1641</v>
      </c>
      <c r="D223" s="104"/>
      <c r="E223" s="104"/>
      <c r="F223" s="104"/>
      <c r="G223" s="104"/>
      <c r="H223" s="104"/>
      <c r="I223" s="104"/>
      <c r="J223" s="104"/>
      <c r="K223" s="106"/>
      <c r="L223" s="106"/>
      <c r="M223" s="257"/>
      <c r="N223" s="105"/>
      <c r="O223" s="106"/>
      <c r="P223" s="105"/>
      <c r="Q223" s="106"/>
      <c r="R223" s="106"/>
      <c r="S223" s="105"/>
      <c r="T223" s="106"/>
      <c r="U223" s="106"/>
      <c r="V223" s="106"/>
    </row>
    <row r="224" spans="1:22" ht="24" x14ac:dyDescent="0.25">
      <c r="A224" s="428" t="s">
        <v>1721</v>
      </c>
      <c r="B224" s="436"/>
      <c r="C224" s="428" t="s">
        <v>1749</v>
      </c>
      <c r="D224" s="463"/>
      <c r="E224" s="463"/>
      <c r="F224" s="463"/>
      <c r="G224" s="463"/>
      <c r="H224" s="463"/>
      <c r="I224" s="463"/>
      <c r="J224" s="463"/>
      <c r="K224" s="460"/>
      <c r="L224" s="460"/>
      <c r="M224" s="461"/>
      <c r="N224" s="462"/>
      <c r="O224" s="460"/>
      <c r="P224" s="462"/>
      <c r="Q224" s="460"/>
      <c r="R224" s="460"/>
      <c r="S224" s="462"/>
      <c r="T224" s="460"/>
      <c r="U224" s="460"/>
      <c r="V224" s="460"/>
    </row>
    <row r="225" spans="1:22" ht="48" x14ac:dyDescent="0.25">
      <c r="A225" s="428" t="s">
        <v>1722</v>
      </c>
      <c r="B225" s="436"/>
      <c r="C225" s="428" t="s">
        <v>1750</v>
      </c>
      <c r="D225" s="463"/>
      <c r="E225" s="463"/>
      <c r="F225" s="463"/>
      <c r="G225" s="463"/>
      <c r="H225" s="463"/>
      <c r="I225" s="463"/>
      <c r="J225" s="463"/>
      <c r="K225" s="460"/>
      <c r="L225" s="460"/>
      <c r="M225" s="461"/>
      <c r="N225" s="462"/>
      <c r="O225" s="460"/>
      <c r="P225" s="462"/>
      <c r="Q225" s="460"/>
      <c r="R225" s="460"/>
      <c r="S225" s="462"/>
      <c r="T225" s="460"/>
      <c r="U225" s="460"/>
      <c r="V225" s="460"/>
    </row>
    <row r="226" spans="1:22" ht="36" x14ac:dyDescent="0.25">
      <c r="A226" s="428" t="s">
        <v>1723</v>
      </c>
      <c r="B226" s="436"/>
      <c r="C226" s="428" t="s">
        <v>1751</v>
      </c>
      <c r="D226" s="463"/>
      <c r="E226" s="463"/>
      <c r="F226" s="463"/>
      <c r="G226" s="463"/>
      <c r="H226" s="463"/>
      <c r="I226" s="463"/>
      <c r="J226" s="463"/>
      <c r="K226" s="460"/>
      <c r="L226" s="460"/>
      <c r="M226" s="461"/>
      <c r="N226" s="462"/>
      <c r="O226" s="460"/>
      <c r="P226" s="462"/>
      <c r="Q226" s="460"/>
      <c r="R226" s="460"/>
      <c r="S226" s="462"/>
      <c r="T226" s="460"/>
      <c r="U226" s="460"/>
      <c r="V226" s="460"/>
    </row>
    <row r="227" spans="1:22" ht="48" x14ac:dyDescent="0.25">
      <c r="A227" s="428" t="s">
        <v>1724</v>
      </c>
      <c r="B227" s="436"/>
      <c r="C227" s="428" t="s">
        <v>1752</v>
      </c>
      <c r="D227" s="463"/>
      <c r="E227" s="463"/>
      <c r="F227" s="463"/>
      <c r="G227" s="463"/>
      <c r="H227" s="463"/>
      <c r="I227" s="463"/>
      <c r="J227" s="463"/>
      <c r="K227" s="460"/>
      <c r="L227" s="460"/>
      <c r="M227" s="461"/>
      <c r="N227" s="462"/>
      <c r="O227" s="460"/>
      <c r="P227" s="462"/>
      <c r="Q227" s="460"/>
      <c r="R227" s="460"/>
      <c r="S227" s="462"/>
      <c r="T227" s="460"/>
      <c r="U227" s="460"/>
      <c r="V227" s="460"/>
    </row>
    <row r="228" spans="1:22" ht="72" x14ac:dyDescent="0.25">
      <c r="A228" s="428" t="s">
        <v>1725</v>
      </c>
      <c r="B228" s="436"/>
      <c r="C228" s="428" t="s">
        <v>805</v>
      </c>
      <c r="D228" s="463"/>
      <c r="E228" s="463"/>
      <c r="F228" s="463"/>
      <c r="G228" s="463"/>
      <c r="H228" s="463"/>
      <c r="I228" s="463"/>
      <c r="J228" s="463"/>
      <c r="K228" s="460"/>
      <c r="L228" s="460"/>
      <c r="M228" s="461"/>
      <c r="N228" s="462"/>
      <c r="O228" s="460"/>
      <c r="P228" s="462"/>
      <c r="Q228" s="460"/>
      <c r="R228" s="460"/>
      <c r="S228" s="462"/>
      <c r="T228" s="460"/>
      <c r="U228" s="460"/>
      <c r="V228" s="460"/>
    </row>
    <row r="229" spans="1:22" ht="72" x14ac:dyDescent="0.25">
      <c r="A229" s="428" t="s">
        <v>1726</v>
      </c>
      <c r="B229" s="436"/>
      <c r="C229" s="428" t="s">
        <v>1753</v>
      </c>
      <c r="D229" s="463"/>
      <c r="E229" s="463"/>
      <c r="F229" s="463"/>
      <c r="G229" s="463"/>
      <c r="H229" s="463"/>
      <c r="I229" s="463"/>
      <c r="J229" s="463"/>
      <c r="K229" s="460"/>
      <c r="L229" s="460"/>
      <c r="M229" s="461"/>
      <c r="N229" s="462"/>
      <c r="O229" s="460"/>
      <c r="P229" s="462"/>
      <c r="Q229" s="460"/>
      <c r="R229" s="460"/>
      <c r="S229" s="462"/>
      <c r="T229" s="460"/>
      <c r="U229" s="460"/>
      <c r="V229" s="460"/>
    </row>
    <row r="230" spans="1:22" ht="48" x14ac:dyDescent="0.25">
      <c r="A230" s="23" t="s">
        <v>29</v>
      </c>
      <c r="B230" s="279" t="s">
        <v>598</v>
      </c>
      <c r="C230" s="23" t="s">
        <v>48</v>
      </c>
      <c r="D230" s="9" t="s">
        <v>1580</v>
      </c>
      <c r="E230" s="9" t="s">
        <v>1609</v>
      </c>
      <c r="F230" s="9" t="s">
        <v>1456</v>
      </c>
      <c r="G230" s="27" t="s">
        <v>30</v>
      </c>
      <c r="H230" s="9" t="s">
        <v>1586</v>
      </c>
      <c r="I230" s="9"/>
      <c r="J230" s="9"/>
      <c r="K230" s="23" t="s">
        <v>1073</v>
      </c>
      <c r="L230" s="23" t="s">
        <v>1074</v>
      </c>
      <c r="M230" s="259">
        <v>1</v>
      </c>
      <c r="N230" s="23" t="s">
        <v>1250</v>
      </c>
      <c r="O230" s="23" t="s">
        <v>1251</v>
      </c>
      <c r="P230" s="24">
        <v>31</v>
      </c>
      <c r="Q230" s="25" t="s">
        <v>31</v>
      </c>
      <c r="R230" s="23" t="s">
        <v>32</v>
      </c>
      <c r="S230" s="24">
        <v>23</v>
      </c>
      <c r="T230" s="25"/>
      <c r="U230" s="25"/>
      <c r="V230" s="25"/>
    </row>
    <row r="231" spans="1:22" ht="60" x14ac:dyDescent="0.25">
      <c r="A231" s="428" t="s">
        <v>1727</v>
      </c>
      <c r="B231" s="436"/>
      <c r="C231" s="428" t="s">
        <v>1754</v>
      </c>
      <c r="D231" s="463"/>
      <c r="E231" s="463"/>
      <c r="F231" s="463"/>
      <c r="G231" s="463"/>
      <c r="H231" s="463"/>
      <c r="I231" s="463"/>
      <c r="J231" s="463"/>
      <c r="K231" s="460"/>
      <c r="L231" s="460"/>
      <c r="M231" s="461"/>
      <c r="N231" s="462"/>
      <c r="O231" s="460"/>
      <c r="P231" s="462"/>
      <c r="Q231" s="460"/>
      <c r="R231" s="460"/>
      <c r="S231" s="462"/>
      <c r="T231" s="460"/>
      <c r="U231" s="460"/>
      <c r="V231" s="460"/>
    </row>
    <row r="232" spans="1:22" ht="48" x14ac:dyDescent="0.25">
      <c r="A232" s="23" t="s">
        <v>824</v>
      </c>
      <c r="B232" s="279" t="s">
        <v>599</v>
      </c>
      <c r="C232" s="23" t="s">
        <v>806</v>
      </c>
      <c r="D232" s="10" t="s">
        <v>1587</v>
      </c>
      <c r="E232" s="10" t="s">
        <v>1609</v>
      </c>
      <c r="F232" s="10" t="s">
        <v>1454</v>
      </c>
      <c r="G232" s="10" t="s">
        <v>30</v>
      </c>
      <c r="H232" s="10" t="s">
        <v>1586</v>
      </c>
      <c r="I232" s="10"/>
      <c r="J232" s="10"/>
      <c r="K232" s="23" t="s">
        <v>1073</v>
      </c>
      <c r="L232" s="23" t="s">
        <v>1074</v>
      </c>
      <c r="M232" s="59">
        <v>1</v>
      </c>
      <c r="N232" s="23" t="s">
        <v>1250</v>
      </c>
      <c r="O232" s="23" t="s">
        <v>1251</v>
      </c>
      <c r="P232" s="24">
        <v>118</v>
      </c>
      <c r="Q232" s="25" t="s">
        <v>31</v>
      </c>
      <c r="R232" s="23" t="s">
        <v>32</v>
      </c>
      <c r="S232" s="24">
        <v>78</v>
      </c>
      <c r="T232" s="25"/>
      <c r="U232" s="25"/>
      <c r="V232" s="25"/>
    </row>
    <row r="233" spans="1:22" ht="48" x14ac:dyDescent="0.25">
      <c r="A233" s="23" t="s">
        <v>903</v>
      </c>
      <c r="B233" s="279" t="s">
        <v>600</v>
      </c>
      <c r="C233" s="19" t="s">
        <v>24</v>
      </c>
      <c r="D233" s="108" t="s">
        <v>1390</v>
      </c>
      <c r="E233" s="13" t="s">
        <v>1609</v>
      </c>
      <c r="F233" s="13" t="s">
        <v>1455</v>
      </c>
      <c r="G233" s="9" t="s">
        <v>30</v>
      </c>
      <c r="H233" s="17" t="s">
        <v>1586</v>
      </c>
      <c r="I233" s="13"/>
      <c r="J233" s="13"/>
      <c r="K233" s="23" t="s">
        <v>1073</v>
      </c>
      <c r="L233" s="23" t="s">
        <v>1074</v>
      </c>
      <c r="M233" s="259">
        <v>1</v>
      </c>
      <c r="N233" s="25" t="s">
        <v>1250</v>
      </c>
      <c r="O233" s="23" t="s">
        <v>1251</v>
      </c>
      <c r="P233" s="24">
        <v>40</v>
      </c>
      <c r="Q233" s="25" t="s">
        <v>31</v>
      </c>
      <c r="R233" s="23" t="s">
        <v>32</v>
      </c>
      <c r="S233" s="24">
        <v>25</v>
      </c>
      <c r="T233" s="25"/>
      <c r="U233" s="25"/>
      <c r="V233" s="25"/>
    </row>
    <row r="234" spans="1:22" ht="60" x14ac:dyDescent="0.25">
      <c r="A234" s="23" t="s">
        <v>904</v>
      </c>
      <c r="B234" s="279" t="s">
        <v>601</v>
      </c>
      <c r="C234" s="23" t="s">
        <v>341</v>
      </c>
      <c r="D234" s="10" t="s">
        <v>850</v>
      </c>
      <c r="E234" s="10" t="s">
        <v>1609</v>
      </c>
      <c r="F234" s="10" t="s">
        <v>1400</v>
      </c>
      <c r="G234" s="9" t="s">
        <v>30</v>
      </c>
      <c r="H234" s="24" t="s">
        <v>1586</v>
      </c>
      <c r="I234" s="10" t="s">
        <v>1582</v>
      </c>
      <c r="J234" s="10"/>
      <c r="K234" s="25" t="s">
        <v>1073</v>
      </c>
      <c r="L234" s="23" t="s">
        <v>1164</v>
      </c>
      <c r="M234" s="259">
        <v>1</v>
      </c>
      <c r="N234" s="25" t="s">
        <v>1250</v>
      </c>
      <c r="O234" s="23" t="s">
        <v>1251</v>
      </c>
      <c r="P234" s="24">
        <v>61</v>
      </c>
      <c r="Q234" s="25" t="s">
        <v>31</v>
      </c>
      <c r="R234" s="23" t="s">
        <v>32</v>
      </c>
      <c r="S234" s="24">
        <v>40</v>
      </c>
      <c r="T234" s="25"/>
      <c r="U234" s="25"/>
      <c r="V234" s="25"/>
    </row>
    <row r="235" spans="1:22" ht="48" x14ac:dyDescent="0.25">
      <c r="A235" s="31" t="s">
        <v>1468</v>
      </c>
      <c r="B235" s="279" t="s">
        <v>602</v>
      </c>
      <c r="C235" s="23" t="s">
        <v>1469</v>
      </c>
      <c r="D235" s="10" t="s">
        <v>1470</v>
      </c>
      <c r="E235" s="10" t="s">
        <v>1609</v>
      </c>
      <c r="F235" s="10" t="s">
        <v>1446</v>
      </c>
      <c r="G235" s="32" t="s">
        <v>30</v>
      </c>
      <c r="H235" s="24" t="s">
        <v>1586</v>
      </c>
      <c r="I235" s="10"/>
      <c r="J235" s="10"/>
      <c r="K235" s="25" t="s">
        <v>1073</v>
      </c>
      <c r="L235" s="23" t="s">
        <v>1164</v>
      </c>
      <c r="M235" s="259">
        <v>1</v>
      </c>
      <c r="N235" s="25" t="s">
        <v>1250</v>
      </c>
      <c r="O235" s="23" t="s">
        <v>1251</v>
      </c>
      <c r="P235" s="24">
        <v>45</v>
      </c>
      <c r="Q235" s="25" t="s">
        <v>31</v>
      </c>
      <c r="R235" s="23" t="s">
        <v>32</v>
      </c>
      <c r="S235" s="24">
        <v>30</v>
      </c>
      <c r="T235" s="483"/>
      <c r="U235" s="483"/>
      <c r="V235" s="483"/>
    </row>
    <row r="236" spans="1:22" ht="48" x14ac:dyDescent="0.25">
      <c r="A236" s="31" t="s">
        <v>58</v>
      </c>
      <c r="B236" s="279" t="s">
        <v>603</v>
      </c>
      <c r="C236" s="23" t="s">
        <v>59</v>
      </c>
      <c r="D236" s="10" t="s">
        <v>1589</v>
      </c>
      <c r="E236" s="10" t="s">
        <v>1609</v>
      </c>
      <c r="F236" s="10" t="s">
        <v>1441</v>
      </c>
      <c r="G236" s="33" t="s">
        <v>30</v>
      </c>
      <c r="H236" s="24" t="s">
        <v>1586</v>
      </c>
      <c r="I236" s="10"/>
      <c r="J236" s="10"/>
      <c r="K236" s="25" t="s">
        <v>1073</v>
      </c>
      <c r="L236" s="23" t="s">
        <v>1164</v>
      </c>
      <c r="M236" s="259">
        <v>1</v>
      </c>
      <c r="N236" s="25" t="s">
        <v>1250</v>
      </c>
      <c r="O236" s="23" t="s">
        <v>1251</v>
      </c>
      <c r="P236" s="24">
        <v>73</v>
      </c>
      <c r="Q236" s="25" t="s">
        <v>31</v>
      </c>
      <c r="R236" s="23" t="s">
        <v>32</v>
      </c>
      <c r="S236" s="24">
        <v>50</v>
      </c>
      <c r="T236" s="25"/>
      <c r="U236" s="25"/>
      <c r="V236" s="25"/>
    </row>
    <row r="237" spans="1:22" ht="48" x14ac:dyDescent="0.25">
      <c r="A237" s="428" t="s">
        <v>1728</v>
      </c>
      <c r="B237" s="436"/>
      <c r="C237" s="428" t="s">
        <v>1755</v>
      </c>
      <c r="D237" s="463"/>
      <c r="E237" s="463"/>
      <c r="F237" s="463"/>
      <c r="G237" s="463"/>
      <c r="H237" s="463"/>
      <c r="I237" s="463"/>
      <c r="J237" s="463"/>
      <c r="K237" s="460"/>
      <c r="L237" s="460"/>
      <c r="M237" s="461"/>
      <c r="N237" s="462"/>
      <c r="O237" s="460"/>
      <c r="P237" s="462"/>
      <c r="Q237" s="460"/>
      <c r="R237" s="460"/>
      <c r="S237" s="462"/>
      <c r="T237" s="460"/>
      <c r="U237" s="460"/>
      <c r="V237" s="460"/>
    </row>
    <row r="238" spans="1:22" ht="72" x14ac:dyDescent="0.25">
      <c r="A238" s="428" t="s">
        <v>1729</v>
      </c>
      <c r="B238" s="436"/>
      <c r="C238" s="428" t="s">
        <v>1756</v>
      </c>
      <c r="D238" s="463"/>
      <c r="E238" s="463"/>
      <c r="F238" s="463"/>
      <c r="G238" s="463"/>
      <c r="H238" s="463"/>
      <c r="I238" s="463"/>
      <c r="J238" s="463"/>
      <c r="K238" s="460"/>
      <c r="L238" s="460"/>
      <c r="M238" s="461"/>
      <c r="N238" s="462"/>
      <c r="O238" s="460"/>
      <c r="P238" s="462"/>
      <c r="Q238" s="460"/>
      <c r="R238" s="460"/>
      <c r="S238" s="462"/>
      <c r="T238" s="460"/>
      <c r="U238" s="460"/>
      <c r="V238" s="460"/>
    </row>
    <row r="239" spans="1:22" ht="48" x14ac:dyDescent="0.25">
      <c r="A239" s="23" t="s">
        <v>56</v>
      </c>
      <c r="B239" s="279" t="s">
        <v>604</v>
      </c>
      <c r="C239" s="23" t="s">
        <v>57</v>
      </c>
      <c r="D239" s="14" t="s">
        <v>411</v>
      </c>
      <c r="E239" s="14" t="s">
        <v>1609</v>
      </c>
      <c r="F239" s="14" t="s">
        <v>1446</v>
      </c>
      <c r="G239" s="33" t="s">
        <v>30</v>
      </c>
      <c r="H239" s="14" t="s">
        <v>1586</v>
      </c>
      <c r="I239" s="9"/>
      <c r="J239" s="9"/>
      <c r="K239" s="258" t="s">
        <v>1073</v>
      </c>
      <c r="L239" s="258" t="s">
        <v>1074</v>
      </c>
      <c r="M239" s="259">
        <v>1</v>
      </c>
      <c r="N239" s="258" t="s">
        <v>1250</v>
      </c>
      <c r="O239" s="258" t="s">
        <v>1251</v>
      </c>
      <c r="P239" s="24">
        <v>10</v>
      </c>
      <c r="Q239" s="25" t="s">
        <v>31</v>
      </c>
      <c r="R239" s="258" t="s">
        <v>32</v>
      </c>
      <c r="S239" s="24">
        <v>8</v>
      </c>
      <c r="T239" s="483"/>
      <c r="U239" s="483"/>
      <c r="V239" s="483"/>
    </row>
    <row r="240" spans="1:22" ht="72" x14ac:dyDescent="0.25">
      <c r="A240" s="428" t="s">
        <v>1730</v>
      </c>
      <c r="B240" s="436"/>
      <c r="C240" s="428" t="s">
        <v>1757</v>
      </c>
      <c r="D240" s="463"/>
      <c r="E240" s="463"/>
      <c r="F240" s="463"/>
      <c r="G240" s="463"/>
      <c r="H240" s="463"/>
      <c r="I240" s="463"/>
      <c r="J240" s="463"/>
      <c r="K240" s="460"/>
      <c r="L240" s="460"/>
      <c r="M240" s="461"/>
      <c r="N240" s="462"/>
      <c r="O240" s="460"/>
      <c r="P240" s="462"/>
      <c r="Q240" s="460"/>
      <c r="R240" s="460"/>
      <c r="S240" s="462"/>
      <c r="T240" s="460"/>
      <c r="U240" s="460"/>
      <c r="V240" s="460"/>
    </row>
    <row r="241" spans="1:22" ht="105" customHeight="1" x14ac:dyDescent="0.25">
      <c r="A241" s="23" t="s">
        <v>1219</v>
      </c>
      <c r="B241" s="279" t="s">
        <v>605</v>
      </c>
      <c r="C241" s="23" t="s">
        <v>1492</v>
      </c>
      <c r="D241" s="12" t="s">
        <v>1584</v>
      </c>
      <c r="E241" s="11" t="s">
        <v>1609</v>
      </c>
      <c r="F241" s="12" t="s">
        <v>1436</v>
      </c>
      <c r="G241" s="11" t="s">
        <v>30</v>
      </c>
      <c r="H241" s="24"/>
      <c r="I241" s="10"/>
      <c r="J241" s="10"/>
      <c r="K241" s="258" t="s">
        <v>1073</v>
      </c>
      <c r="L241" s="258" t="s">
        <v>1074</v>
      </c>
      <c r="M241" s="259">
        <v>1</v>
      </c>
      <c r="N241" s="258" t="s">
        <v>1250</v>
      </c>
      <c r="O241" s="258" t="s">
        <v>1251</v>
      </c>
      <c r="P241" s="24">
        <v>40</v>
      </c>
      <c r="Q241" s="25" t="s">
        <v>31</v>
      </c>
      <c r="R241" s="258" t="s">
        <v>32</v>
      </c>
      <c r="S241" s="24">
        <v>25</v>
      </c>
      <c r="T241" s="25"/>
      <c r="U241" s="25"/>
      <c r="V241" s="25"/>
    </row>
    <row r="242" spans="1:22" ht="105" customHeight="1" x14ac:dyDescent="0.25">
      <c r="A242" s="23" t="s">
        <v>413</v>
      </c>
      <c r="B242" s="472" t="s">
        <v>606</v>
      </c>
      <c r="C242" s="23" t="s">
        <v>412</v>
      </c>
      <c r="D242" s="12" t="s">
        <v>414</v>
      </c>
      <c r="E242" s="11" t="s">
        <v>1609</v>
      </c>
      <c r="F242" s="11" t="s">
        <v>1446</v>
      </c>
      <c r="G242" s="11" t="s">
        <v>30</v>
      </c>
      <c r="H242" s="22" t="s">
        <v>1586</v>
      </c>
      <c r="I242" s="11"/>
      <c r="J242" s="11" t="s">
        <v>797</v>
      </c>
      <c r="K242" s="258" t="s">
        <v>1073</v>
      </c>
      <c r="L242" s="258" t="s">
        <v>1074</v>
      </c>
      <c r="M242" s="259">
        <v>1</v>
      </c>
      <c r="N242" s="258" t="s">
        <v>1250</v>
      </c>
      <c r="O242" s="258" t="s">
        <v>1251</v>
      </c>
      <c r="P242" s="24">
        <v>60</v>
      </c>
      <c r="Q242" s="25" t="s">
        <v>31</v>
      </c>
      <c r="R242" s="258" t="s">
        <v>32</v>
      </c>
      <c r="S242" s="24">
        <v>20</v>
      </c>
      <c r="T242" s="25"/>
      <c r="U242" s="25"/>
      <c r="V242" s="25"/>
    </row>
    <row r="243" spans="1:22" ht="36" x14ac:dyDescent="0.25">
      <c r="A243" s="391" t="s">
        <v>1605</v>
      </c>
      <c r="B243" s="392"/>
      <c r="C243" s="391" t="s">
        <v>1604</v>
      </c>
      <c r="D243" s="393"/>
      <c r="E243" s="393"/>
      <c r="F243" s="393"/>
      <c r="G243" s="393"/>
      <c r="H243" s="393"/>
      <c r="I243" s="393"/>
      <c r="J243" s="393"/>
      <c r="K243" s="394"/>
      <c r="L243" s="394"/>
      <c r="M243" s="395"/>
      <c r="N243" s="396"/>
      <c r="O243" s="394"/>
      <c r="P243" s="396"/>
      <c r="Q243" s="394"/>
      <c r="R243" s="394"/>
      <c r="S243" s="396"/>
      <c r="T243" s="394"/>
      <c r="U243" s="394"/>
      <c r="V243" s="394"/>
    </row>
    <row r="244" spans="1:22" ht="24" x14ac:dyDescent="0.25">
      <c r="A244" s="428" t="s">
        <v>1731</v>
      </c>
      <c r="B244" s="436"/>
      <c r="C244" s="428" t="s">
        <v>1758</v>
      </c>
      <c r="D244" s="463"/>
      <c r="E244" s="463"/>
      <c r="F244" s="463"/>
      <c r="G244" s="463"/>
      <c r="H244" s="463"/>
      <c r="I244" s="463"/>
      <c r="J244" s="463"/>
      <c r="K244" s="460"/>
      <c r="L244" s="460"/>
      <c r="M244" s="461"/>
      <c r="N244" s="462"/>
      <c r="O244" s="460"/>
      <c r="P244" s="462"/>
      <c r="Q244" s="460"/>
      <c r="R244" s="460"/>
      <c r="S244" s="462"/>
      <c r="T244" s="460"/>
      <c r="U244" s="460"/>
      <c r="V244" s="460"/>
    </row>
    <row r="245" spans="1:22" ht="36" x14ac:dyDescent="0.25">
      <c r="A245" s="23" t="s">
        <v>397</v>
      </c>
      <c r="B245" s="279" t="s">
        <v>607</v>
      </c>
      <c r="C245" s="23" t="s">
        <v>1208</v>
      </c>
      <c r="D245" s="10" t="s">
        <v>1580</v>
      </c>
      <c r="E245" s="10" t="s">
        <v>1609</v>
      </c>
      <c r="F245" s="10" t="s">
        <v>1456</v>
      </c>
      <c r="G245" s="9" t="s">
        <v>1209</v>
      </c>
      <c r="H245" s="24" t="s">
        <v>1586</v>
      </c>
      <c r="I245" s="10"/>
      <c r="J245" s="10"/>
      <c r="K245" s="50" t="s">
        <v>1075</v>
      </c>
      <c r="L245" s="23" t="s">
        <v>1076</v>
      </c>
      <c r="M245" s="259">
        <v>11</v>
      </c>
      <c r="N245" s="24"/>
      <c r="O245" s="25"/>
      <c r="P245" s="24"/>
      <c r="Q245" s="25"/>
      <c r="R245" s="25"/>
      <c r="S245" s="24"/>
      <c r="T245" s="25"/>
      <c r="U245" s="25"/>
      <c r="V245" s="25"/>
    </row>
    <row r="246" spans="1:22" ht="60" x14ac:dyDescent="0.25">
      <c r="A246" s="428" t="s">
        <v>1732</v>
      </c>
      <c r="B246" s="438"/>
      <c r="C246" s="428" t="s">
        <v>1759</v>
      </c>
      <c r="D246" s="463"/>
      <c r="E246" s="463"/>
      <c r="F246" s="463"/>
      <c r="G246" s="463"/>
      <c r="H246" s="463"/>
      <c r="I246" s="463"/>
      <c r="J246" s="463"/>
      <c r="K246" s="460"/>
      <c r="L246" s="460"/>
      <c r="M246" s="461"/>
      <c r="N246" s="462"/>
      <c r="O246" s="460"/>
      <c r="P246" s="462"/>
      <c r="Q246" s="460"/>
      <c r="R246" s="460"/>
      <c r="S246" s="462"/>
      <c r="T246" s="460"/>
      <c r="U246" s="460"/>
      <c r="V246" s="460"/>
    </row>
    <row r="247" spans="1:22" ht="48" x14ac:dyDescent="0.25">
      <c r="A247" s="434" t="s">
        <v>1606</v>
      </c>
      <c r="B247" s="438"/>
      <c r="C247" s="434" t="s">
        <v>1607</v>
      </c>
      <c r="D247" s="463" t="s">
        <v>1550</v>
      </c>
      <c r="E247" s="463" t="s">
        <v>1550</v>
      </c>
      <c r="F247" s="463" t="s">
        <v>1550</v>
      </c>
      <c r="G247" s="463"/>
      <c r="H247" s="463" t="s">
        <v>1550</v>
      </c>
      <c r="I247" s="463" t="s">
        <v>1550</v>
      </c>
      <c r="J247" s="463" t="s">
        <v>1550</v>
      </c>
      <c r="K247" s="460"/>
      <c r="L247" s="460"/>
      <c r="M247" s="461"/>
      <c r="N247" s="462"/>
      <c r="O247" s="460"/>
      <c r="P247" s="462"/>
      <c r="Q247" s="460"/>
      <c r="R247" s="460"/>
      <c r="S247" s="462"/>
      <c r="T247" s="460"/>
      <c r="U247" s="460"/>
      <c r="V247" s="460"/>
    </row>
    <row r="248" spans="1:22" ht="36" x14ac:dyDescent="0.25">
      <c r="A248" s="49" t="s">
        <v>1608</v>
      </c>
      <c r="B248" s="279" t="s">
        <v>608</v>
      </c>
      <c r="C248" s="30" t="s">
        <v>1314</v>
      </c>
      <c r="D248" s="9" t="s">
        <v>1584</v>
      </c>
      <c r="E248" s="9" t="s">
        <v>1609</v>
      </c>
      <c r="F248" s="9" t="s">
        <v>1436</v>
      </c>
      <c r="G248" s="9" t="s">
        <v>1209</v>
      </c>
      <c r="H248" s="9" t="s">
        <v>1586</v>
      </c>
      <c r="I248" s="9"/>
      <c r="J248" s="9"/>
      <c r="K248" s="50" t="s">
        <v>1075</v>
      </c>
      <c r="L248" s="23" t="s">
        <v>1076</v>
      </c>
      <c r="M248" s="259">
        <v>19</v>
      </c>
      <c r="N248" s="24"/>
      <c r="O248" s="25"/>
      <c r="P248" s="24"/>
      <c r="Q248" s="25"/>
      <c r="R248" s="25"/>
      <c r="S248" s="24"/>
      <c r="T248" s="25"/>
      <c r="U248" s="25"/>
      <c r="V248" s="25"/>
    </row>
    <row r="249" spans="1:22" ht="36" x14ac:dyDescent="0.25">
      <c r="A249" s="49" t="s">
        <v>905</v>
      </c>
      <c r="B249" s="279" t="s">
        <v>609</v>
      </c>
      <c r="C249" s="31" t="s">
        <v>6</v>
      </c>
      <c r="D249" s="10" t="s">
        <v>1587</v>
      </c>
      <c r="E249" s="10" t="s">
        <v>1609</v>
      </c>
      <c r="F249" s="10" t="s">
        <v>1454</v>
      </c>
      <c r="G249" s="9" t="s">
        <v>1209</v>
      </c>
      <c r="H249" s="10" t="s">
        <v>1586</v>
      </c>
      <c r="I249" s="10"/>
      <c r="J249" s="10"/>
      <c r="K249" s="23" t="s">
        <v>1075</v>
      </c>
      <c r="L249" s="23" t="s">
        <v>1076</v>
      </c>
      <c r="M249" s="59">
        <v>80</v>
      </c>
      <c r="N249" s="24"/>
      <c r="O249" s="25"/>
      <c r="P249" s="24"/>
      <c r="Q249" s="25"/>
      <c r="R249" s="25"/>
      <c r="S249" s="24"/>
      <c r="T249" s="25"/>
      <c r="U249" s="25"/>
      <c r="V249" s="25"/>
    </row>
    <row r="250" spans="1:22" ht="36" x14ac:dyDescent="0.25">
      <c r="A250" s="49" t="s">
        <v>1153</v>
      </c>
      <c r="B250" s="279" t="s">
        <v>610</v>
      </c>
      <c r="C250" s="23" t="s">
        <v>1154</v>
      </c>
      <c r="D250" s="10" t="s">
        <v>1145</v>
      </c>
      <c r="E250" s="10" t="s">
        <v>1609</v>
      </c>
      <c r="F250" s="10" t="s">
        <v>1147</v>
      </c>
      <c r="G250" s="9" t="s">
        <v>1209</v>
      </c>
      <c r="H250" s="24" t="s">
        <v>1586</v>
      </c>
      <c r="I250" s="10"/>
      <c r="J250" s="10"/>
      <c r="K250" s="258" t="s">
        <v>1075</v>
      </c>
      <c r="L250" s="23" t="s">
        <v>1076</v>
      </c>
      <c r="M250" s="259">
        <v>3</v>
      </c>
      <c r="N250" s="24"/>
      <c r="O250" s="25"/>
      <c r="P250" s="24"/>
      <c r="Q250" s="25"/>
      <c r="R250" s="25"/>
      <c r="S250" s="24"/>
      <c r="T250" s="25"/>
      <c r="U250" s="25"/>
      <c r="V250" s="25"/>
    </row>
    <row r="251" spans="1:22" ht="36" x14ac:dyDescent="0.25">
      <c r="A251" s="49" t="s">
        <v>1220</v>
      </c>
      <c r="B251" s="279" t="s">
        <v>611</v>
      </c>
      <c r="C251" s="23" t="s">
        <v>825</v>
      </c>
      <c r="D251" s="10" t="s">
        <v>1443</v>
      </c>
      <c r="E251" s="10" t="s">
        <v>1609</v>
      </c>
      <c r="F251" s="10" t="s">
        <v>1455</v>
      </c>
      <c r="G251" s="9" t="s">
        <v>1209</v>
      </c>
      <c r="H251" s="24" t="s">
        <v>1586</v>
      </c>
      <c r="I251" s="10"/>
      <c r="J251" s="10"/>
      <c r="K251" s="50" t="s">
        <v>1075</v>
      </c>
      <c r="L251" s="23" t="s">
        <v>1076</v>
      </c>
      <c r="M251" s="259">
        <v>30</v>
      </c>
      <c r="N251" s="24"/>
      <c r="O251" s="25"/>
      <c r="P251" s="24"/>
      <c r="Q251" s="25"/>
      <c r="R251" s="25"/>
      <c r="S251" s="24"/>
      <c r="T251" s="25"/>
      <c r="U251" s="25"/>
      <c r="V251" s="25"/>
    </row>
    <row r="252" spans="1:22" ht="36" x14ac:dyDescent="0.25">
      <c r="A252" s="49" t="s">
        <v>1233</v>
      </c>
      <c r="B252" s="279" t="s">
        <v>612</v>
      </c>
      <c r="C252" s="30" t="s">
        <v>1339</v>
      </c>
      <c r="D252" s="10" t="s">
        <v>1590</v>
      </c>
      <c r="E252" s="10" t="s">
        <v>1609</v>
      </c>
      <c r="F252" s="10" t="s">
        <v>1446</v>
      </c>
      <c r="G252" s="9" t="s">
        <v>1209</v>
      </c>
      <c r="H252" s="24" t="s">
        <v>1586</v>
      </c>
      <c r="I252" s="10"/>
      <c r="J252" s="10"/>
      <c r="K252" s="258" t="s">
        <v>1075</v>
      </c>
      <c r="L252" s="23" t="s">
        <v>1076</v>
      </c>
      <c r="M252" s="59">
        <v>18</v>
      </c>
      <c r="N252" s="24"/>
      <c r="O252" s="25"/>
      <c r="P252" s="24"/>
      <c r="Q252" s="25"/>
      <c r="R252" s="25"/>
      <c r="S252" s="24"/>
      <c r="T252" s="25"/>
      <c r="U252" s="25"/>
      <c r="V252" s="25"/>
    </row>
    <row r="253" spans="1:22" ht="36" x14ac:dyDescent="0.25">
      <c r="A253" s="39" t="s">
        <v>1244</v>
      </c>
      <c r="B253" s="279" t="s">
        <v>613</v>
      </c>
      <c r="C253" s="30" t="s">
        <v>1245</v>
      </c>
      <c r="D253" s="27" t="s">
        <v>1589</v>
      </c>
      <c r="E253" s="27" t="s">
        <v>1609</v>
      </c>
      <c r="F253" s="10" t="s">
        <v>1441</v>
      </c>
      <c r="G253" s="27" t="s">
        <v>1209</v>
      </c>
      <c r="H253" s="38" t="s">
        <v>1586</v>
      </c>
      <c r="I253" s="10"/>
      <c r="J253" s="10"/>
      <c r="K253" s="258" t="s">
        <v>1075</v>
      </c>
      <c r="L253" s="23" t="s">
        <v>1076</v>
      </c>
      <c r="M253" s="59">
        <v>40</v>
      </c>
      <c r="N253" s="24"/>
      <c r="O253" s="25"/>
      <c r="P253" s="24"/>
      <c r="Q253" s="25"/>
      <c r="R253" s="25"/>
      <c r="S253" s="24"/>
      <c r="T253" s="25"/>
      <c r="U253" s="25"/>
      <c r="V253" s="25"/>
    </row>
    <row r="254" spans="1:22" ht="48" x14ac:dyDescent="0.25">
      <c r="A254" s="39" t="s">
        <v>1247</v>
      </c>
      <c r="B254" s="279" t="s">
        <v>614</v>
      </c>
      <c r="C254" s="23" t="s">
        <v>1411</v>
      </c>
      <c r="D254" s="10" t="s">
        <v>850</v>
      </c>
      <c r="E254" s="10" t="s">
        <v>1609</v>
      </c>
      <c r="F254" s="10" t="s">
        <v>1400</v>
      </c>
      <c r="G254" s="9" t="s">
        <v>1209</v>
      </c>
      <c r="H254" s="24" t="s">
        <v>1586</v>
      </c>
      <c r="I254" s="10" t="s">
        <v>858</v>
      </c>
      <c r="J254" s="10"/>
      <c r="K254" s="25" t="s">
        <v>1075</v>
      </c>
      <c r="L254" s="23" t="s">
        <v>1076</v>
      </c>
      <c r="M254" s="259">
        <v>173</v>
      </c>
      <c r="N254" s="24"/>
      <c r="O254" s="25"/>
      <c r="P254" s="24"/>
      <c r="Q254" s="25"/>
      <c r="R254" s="25"/>
      <c r="S254" s="24"/>
      <c r="T254" s="25"/>
      <c r="U254" s="25"/>
      <c r="V254" s="25"/>
    </row>
    <row r="255" spans="1:22" ht="36" x14ac:dyDescent="0.25">
      <c r="A255" s="41" t="s">
        <v>1642</v>
      </c>
      <c r="B255" s="85"/>
      <c r="C255" s="41" t="s">
        <v>1643</v>
      </c>
      <c r="D255" s="95"/>
      <c r="E255" s="95"/>
      <c r="F255" s="95"/>
      <c r="G255" s="95"/>
      <c r="H255" s="95"/>
      <c r="I255" s="95"/>
      <c r="J255" s="95"/>
      <c r="K255" s="95"/>
      <c r="L255" s="95"/>
      <c r="M255" s="256"/>
      <c r="N255" s="102"/>
      <c r="O255" s="103"/>
      <c r="P255" s="102"/>
      <c r="Q255" s="103"/>
      <c r="R255" s="103"/>
      <c r="S255" s="102"/>
      <c r="T255" s="103"/>
      <c r="U255" s="103"/>
      <c r="V255" s="103"/>
    </row>
    <row r="256" spans="1:22" ht="36" x14ac:dyDescent="0.25">
      <c r="A256" s="43" t="s">
        <v>1644</v>
      </c>
      <c r="B256" s="44"/>
      <c r="C256" s="43" t="s">
        <v>1652</v>
      </c>
      <c r="D256" s="104"/>
      <c r="E256" s="104"/>
      <c r="F256" s="104"/>
      <c r="G256" s="104"/>
      <c r="H256" s="104"/>
      <c r="I256" s="104"/>
      <c r="J256" s="104"/>
      <c r="K256" s="104"/>
      <c r="L256" s="104"/>
      <c r="M256" s="257"/>
      <c r="N256" s="105"/>
      <c r="O256" s="106"/>
      <c r="P256" s="105"/>
      <c r="Q256" s="106"/>
      <c r="R256" s="106"/>
      <c r="S256" s="105"/>
      <c r="T256" s="106"/>
      <c r="U256" s="106"/>
      <c r="V256" s="106"/>
    </row>
    <row r="257" spans="1:22" ht="48" x14ac:dyDescent="0.25">
      <c r="A257" s="428" t="s">
        <v>1733</v>
      </c>
      <c r="B257" s="436"/>
      <c r="C257" s="428" t="s">
        <v>1760</v>
      </c>
      <c r="D257" s="463"/>
      <c r="E257" s="463"/>
      <c r="F257" s="463"/>
      <c r="G257" s="463"/>
      <c r="H257" s="463"/>
      <c r="I257" s="463"/>
      <c r="J257" s="463"/>
      <c r="K257" s="463"/>
      <c r="L257" s="463"/>
      <c r="M257" s="461"/>
      <c r="N257" s="462"/>
      <c r="O257" s="460"/>
      <c r="P257" s="462"/>
      <c r="Q257" s="460"/>
      <c r="R257" s="460"/>
      <c r="S257" s="462"/>
      <c r="T257" s="460"/>
      <c r="U257" s="460"/>
      <c r="V257" s="460"/>
    </row>
    <row r="258" spans="1:22" ht="48" x14ac:dyDescent="0.25">
      <c r="A258" s="428" t="s">
        <v>1734</v>
      </c>
      <c r="B258" s="436"/>
      <c r="C258" s="428" t="s">
        <v>1761</v>
      </c>
      <c r="D258" s="463"/>
      <c r="E258" s="463"/>
      <c r="F258" s="463"/>
      <c r="G258" s="463"/>
      <c r="H258" s="463"/>
      <c r="I258" s="463"/>
      <c r="J258" s="463"/>
      <c r="K258" s="463"/>
      <c r="L258" s="463"/>
      <c r="M258" s="461"/>
      <c r="N258" s="462"/>
      <c r="O258" s="460"/>
      <c r="P258" s="462"/>
      <c r="Q258" s="460"/>
      <c r="R258" s="460"/>
      <c r="S258" s="462"/>
      <c r="T258" s="460"/>
      <c r="U258" s="460"/>
      <c r="V258" s="460"/>
    </row>
    <row r="259" spans="1:22" ht="72" x14ac:dyDescent="0.25">
      <c r="A259" s="428" t="s">
        <v>1735</v>
      </c>
      <c r="B259" s="436"/>
      <c r="C259" s="428" t="s">
        <v>1762</v>
      </c>
      <c r="D259" s="463"/>
      <c r="E259" s="463"/>
      <c r="F259" s="463"/>
      <c r="G259" s="463"/>
      <c r="H259" s="463"/>
      <c r="I259" s="463"/>
      <c r="J259" s="463"/>
      <c r="K259" s="463"/>
      <c r="L259" s="463"/>
      <c r="M259" s="461"/>
      <c r="N259" s="462"/>
      <c r="O259" s="460"/>
      <c r="P259" s="462"/>
      <c r="Q259" s="460"/>
      <c r="R259" s="460"/>
      <c r="S259" s="462"/>
      <c r="T259" s="460"/>
      <c r="U259" s="460"/>
      <c r="V259" s="460"/>
    </row>
    <row r="260" spans="1:22" ht="72" x14ac:dyDescent="0.25">
      <c r="A260" s="378" t="s">
        <v>826</v>
      </c>
      <c r="B260" s="279" t="s">
        <v>615</v>
      </c>
      <c r="C260" s="379" t="s">
        <v>827</v>
      </c>
      <c r="D260" s="380" t="s">
        <v>409</v>
      </c>
      <c r="E260" s="380" t="s">
        <v>401</v>
      </c>
      <c r="F260" s="380" t="s">
        <v>1455</v>
      </c>
      <c r="G260" s="380" t="s">
        <v>1412</v>
      </c>
      <c r="H260" s="381" t="s">
        <v>1586</v>
      </c>
      <c r="I260" s="380"/>
      <c r="J260" s="380"/>
      <c r="K260" s="328" t="s">
        <v>274</v>
      </c>
      <c r="L260" s="328" t="s">
        <v>273</v>
      </c>
      <c r="M260" s="382">
        <v>1000</v>
      </c>
      <c r="N260" s="351"/>
      <c r="O260" s="375"/>
      <c r="P260" s="351"/>
      <c r="Q260" s="25"/>
      <c r="R260" s="25"/>
      <c r="S260" s="24"/>
      <c r="T260" s="25"/>
      <c r="U260" s="25"/>
      <c r="V260" s="25"/>
    </row>
    <row r="261" spans="1:22" ht="72" x14ac:dyDescent="0.25">
      <c r="A261" s="378" t="s">
        <v>906</v>
      </c>
      <c r="B261" s="279" t="s">
        <v>616</v>
      </c>
      <c r="C261" s="328" t="s">
        <v>415</v>
      </c>
      <c r="D261" s="330" t="s">
        <v>861</v>
      </c>
      <c r="E261" s="330" t="s">
        <v>401</v>
      </c>
      <c r="F261" s="330" t="s">
        <v>1400</v>
      </c>
      <c r="G261" s="383" t="s">
        <v>1412</v>
      </c>
      <c r="H261" s="351" t="s">
        <v>1586</v>
      </c>
      <c r="I261" s="330" t="s">
        <v>858</v>
      </c>
      <c r="J261" s="330"/>
      <c r="K261" s="328" t="s">
        <v>274</v>
      </c>
      <c r="L261" s="328" t="s">
        <v>273</v>
      </c>
      <c r="M261" s="382">
        <v>4533</v>
      </c>
      <c r="N261" s="351"/>
      <c r="O261" s="375"/>
      <c r="P261" s="351"/>
      <c r="Q261" s="25"/>
      <c r="R261" s="25"/>
      <c r="S261" s="24"/>
      <c r="T261" s="25"/>
      <c r="U261" s="25"/>
      <c r="V261" s="25"/>
    </row>
    <row r="262" spans="1:22" ht="72" x14ac:dyDescent="0.25">
      <c r="A262" s="343" t="s">
        <v>416</v>
      </c>
      <c r="B262" s="279" t="s">
        <v>617</v>
      </c>
      <c r="C262" s="344" t="s">
        <v>417</v>
      </c>
      <c r="D262" s="345" t="s">
        <v>418</v>
      </c>
      <c r="E262" s="345" t="s">
        <v>401</v>
      </c>
      <c r="F262" s="345" t="s">
        <v>1446</v>
      </c>
      <c r="G262" s="345" t="s">
        <v>1412</v>
      </c>
      <c r="H262" s="345" t="s">
        <v>1586</v>
      </c>
      <c r="I262" s="330"/>
      <c r="J262" s="330"/>
      <c r="K262" s="328" t="s">
        <v>274</v>
      </c>
      <c r="L262" s="328" t="s">
        <v>273</v>
      </c>
      <c r="M262" s="382">
        <v>2500</v>
      </c>
      <c r="N262" s="351"/>
      <c r="O262" s="375"/>
      <c r="P262" s="351"/>
      <c r="Q262" s="25"/>
      <c r="R262" s="25"/>
      <c r="S262" s="24"/>
      <c r="T262" s="25"/>
      <c r="U262" s="25"/>
      <c r="V262" s="25"/>
    </row>
    <row r="263" spans="1:22" ht="72" x14ac:dyDescent="0.25">
      <c r="A263" s="344" t="s">
        <v>419</v>
      </c>
      <c r="B263" s="279" t="s">
        <v>618</v>
      </c>
      <c r="C263" s="328" t="s">
        <v>420</v>
      </c>
      <c r="D263" s="330" t="s">
        <v>421</v>
      </c>
      <c r="E263" s="345" t="s">
        <v>401</v>
      </c>
      <c r="F263" s="330" t="s">
        <v>1456</v>
      </c>
      <c r="G263" s="345" t="s">
        <v>1412</v>
      </c>
      <c r="H263" s="345" t="s">
        <v>1586</v>
      </c>
      <c r="I263" s="330"/>
      <c r="J263" s="330"/>
      <c r="K263" s="328" t="s">
        <v>274</v>
      </c>
      <c r="L263" s="328" t="s">
        <v>273</v>
      </c>
      <c r="M263" s="382">
        <v>1275</v>
      </c>
      <c r="N263" s="351"/>
      <c r="O263" s="375"/>
      <c r="P263" s="351"/>
      <c r="Q263" s="25"/>
      <c r="R263" s="25"/>
      <c r="S263" s="24"/>
      <c r="T263" s="25"/>
      <c r="U263" s="25"/>
      <c r="V263" s="25"/>
    </row>
    <row r="264" spans="1:22" ht="72" x14ac:dyDescent="0.25">
      <c r="A264" s="348" t="s">
        <v>422</v>
      </c>
      <c r="B264" s="279" t="s">
        <v>619</v>
      </c>
      <c r="C264" s="348" t="s">
        <v>423</v>
      </c>
      <c r="D264" s="349" t="s">
        <v>424</v>
      </c>
      <c r="E264" s="349" t="s">
        <v>401</v>
      </c>
      <c r="F264" s="349" t="s">
        <v>1441</v>
      </c>
      <c r="G264" s="349" t="s">
        <v>1412</v>
      </c>
      <c r="H264" s="349" t="s">
        <v>1586</v>
      </c>
      <c r="I264" s="330"/>
      <c r="J264" s="330"/>
      <c r="K264" s="328" t="s">
        <v>274</v>
      </c>
      <c r="L264" s="328" t="s">
        <v>273</v>
      </c>
      <c r="M264" s="382">
        <v>2500</v>
      </c>
      <c r="N264" s="351"/>
      <c r="O264" s="375"/>
      <c r="P264" s="351"/>
      <c r="Q264" s="25"/>
      <c r="R264" s="25"/>
      <c r="S264" s="24"/>
      <c r="T264" s="25"/>
      <c r="U264" s="25"/>
      <c r="V264" s="25"/>
    </row>
    <row r="265" spans="1:22" ht="72" x14ac:dyDescent="0.25">
      <c r="A265" s="350" t="s">
        <v>425</v>
      </c>
      <c r="B265" s="279" t="s">
        <v>620</v>
      </c>
      <c r="C265" s="328" t="s">
        <v>426</v>
      </c>
      <c r="D265" s="330" t="s">
        <v>1584</v>
      </c>
      <c r="E265" s="330" t="s">
        <v>401</v>
      </c>
      <c r="F265" s="330" t="s">
        <v>1436</v>
      </c>
      <c r="G265" s="345" t="s">
        <v>1412</v>
      </c>
      <c r="H265" s="351" t="s">
        <v>1586</v>
      </c>
      <c r="I265" s="330"/>
      <c r="J265" s="330"/>
      <c r="K265" s="328" t="s">
        <v>274</v>
      </c>
      <c r="L265" s="328" t="s">
        <v>273</v>
      </c>
      <c r="M265" s="382">
        <v>800</v>
      </c>
      <c r="N265" s="351"/>
      <c r="O265" s="375"/>
      <c r="P265" s="351"/>
      <c r="Q265" s="25"/>
      <c r="R265" s="25"/>
      <c r="S265" s="24"/>
      <c r="T265" s="25"/>
      <c r="U265" s="25"/>
      <c r="V265" s="25"/>
    </row>
    <row r="266" spans="1:22" ht="72" x14ac:dyDescent="0.25">
      <c r="A266" s="328" t="s">
        <v>427</v>
      </c>
      <c r="B266" s="279" t="s">
        <v>621</v>
      </c>
      <c r="C266" s="328" t="s">
        <v>428</v>
      </c>
      <c r="D266" s="330" t="s">
        <v>1145</v>
      </c>
      <c r="E266" s="330" t="s">
        <v>401</v>
      </c>
      <c r="F266" s="330" t="s">
        <v>1147</v>
      </c>
      <c r="G266" s="330" t="s">
        <v>1412</v>
      </c>
      <c r="H266" s="351" t="s">
        <v>1586</v>
      </c>
      <c r="I266" s="330"/>
      <c r="J266" s="330"/>
      <c r="K266" s="328" t="s">
        <v>274</v>
      </c>
      <c r="L266" s="328" t="s">
        <v>273</v>
      </c>
      <c r="M266" s="382">
        <v>350</v>
      </c>
      <c r="N266" s="351"/>
      <c r="O266" s="375"/>
      <c r="P266" s="351"/>
      <c r="Q266" s="25"/>
      <c r="R266" s="25"/>
      <c r="S266" s="24"/>
      <c r="T266" s="25"/>
      <c r="U266" s="25"/>
      <c r="V266" s="25"/>
    </row>
    <row r="267" spans="1:22" ht="72" x14ac:dyDescent="0.25">
      <c r="A267" s="328" t="s">
        <v>429</v>
      </c>
      <c r="B267" s="279" t="s">
        <v>622</v>
      </c>
      <c r="C267" s="328" t="s">
        <v>430</v>
      </c>
      <c r="D267" s="345" t="s">
        <v>1587</v>
      </c>
      <c r="E267" s="345" t="s">
        <v>401</v>
      </c>
      <c r="F267" s="345" t="s">
        <v>1454</v>
      </c>
      <c r="G267" s="345" t="s">
        <v>1412</v>
      </c>
      <c r="H267" s="345" t="s">
        <v>1586</v>
      </c>
      <c r="I267" s="330"/>
      <c r="J267" s="330"/>
      <c r="K267" s="328" t="s">
        <v>274</v>
      </c>
      <c r="L267" s="328" t="s">
        <v>273</v>
      </c>
      <c r="M267" s="382">
        <v>1588</v>
      </c>
      <c r="N267" s="290"/>
      <c r="O267" s="270"/>
      <c r="P267" s="290"/>
      <c r="Q267" s="25"/>
      <c r="R267" s="25"/>
      <c r="S267" s="24"/>
      <c r="T267" s="25"/>
      <c r="U267" s="25"/>
      <c r="V267" s="25"/>
    </row>
    <row r="268" spans="1:22" ht="84" x14ac:dyDescent="0.25">
      <c r="A268" s="428" t="s">
        <v>1736</v>
      </c>
      <c r="B268" s="436"/>
      <c r="C268" s="428" t="s">
        <v>1763</v>
      </c>
      <c r="D268" s="463"/>
      <c r="E268" s="463"/>
      <c r="F268" s="463"/>
      <c r="G268" s="463"/>
      <c r="H268" s="463"/>
      <c r="I268" s="463"/>
      <c r="J268" s="463"/>
      <c r="K268" s="460"/>
      <c r="L268" s="460"/>
      <c r="M268" s="461"/>
      <c r="N268" s="462"/>
      <c r="O268" s="460"/>
      <c r="P268" s="462"/>
      <c r="Q268" s="460"/>
      <c r="R268" s="460"/>
      <c r="S268" s="462"/>
      <c r="T268" s="460"/>
      <c r="U268" s="460"/>
      <c r="V268" s="460"/>
    </row>
    <row r="269" spans="1:22" ht="36" x14ac:dyDescent="0.25">
      <c r="A269" s="428" t="s">
        <v>1737</v>
      </c>
      <c r="B269" s="436"/>
      <c r="C269" s="428" t="s">
        <v>1764</v>
      </c>
      <c r="D269" s="463"/>
      <c r="E269" s="463"/>
      <c r="F269" s="463"/>
      <c r="G269" s="463"/>
      <c r="H269" s="463"/>
      <c r="I269" s="463"/>
      <c r="J269" s="463"/>
      <c r="K269" s="460"/>
      <c r="L269" s="460"/>
      <c r="M269" s="461"/>
      <c r="N269" s="462"/>
      <c r="O269" s="460"/>
      <c r="P269" s="462"/>
      <c r="Q269" s="460"/>
      <c r="R269" s="460"/>
      <c r="S269" s="462"/>
      <c r="T269" s="460"/>
      <c r="U269" s="460"/>
      <c r="V269" s="460"/>
    </row>
    <row r="270" spans="1:22" ht="48" x14ac:dyDescent="0.25">
      <c r="A270" s="428" t="s">
        <v>1738</v>
      </c>
      <c r="B270" s="436"/>
      <c r="C270" s="428" t="s">
        <v>1765</v>
      </c>
      <c r="D270" s="463"/>
      <c r="E270" s="463"/>
      <c r="F270" s="463"/>
      <c r="G270" s="463"/>
      <c r="H270" s="463"/>
      <c r="I270" s="463"/>
      <c r="J270" s="463"/>
      <c r="K270" s="460"/>
      <c r="L270" s="460"/>
      <c r="M270" s="461"/>
      <c r="N270" s="462"/>
      <c r="O270" s="460"/>
      <c r="P270" s="462"/>
      <c r="Q270" s="460"/>
      <c r="R270" s="460"/>
      <c r="S270" s="462"/>
      <c r="T270" s="460"/>
      <c r="U270" s="460"/>
      <c r="V270" s="460"/>
    </row>
    <row r="271" spans="1:22" ht="60" x14ac:dyDescent="0.25">
      <c r="A271" s="43" t="s">
        <v>1645</v>
      </c>
      <c r="B271" s="44"/>
      <c r="C271" s="43" t="s">
        <v>1653</v>
      </c>
      <c r="D271" s="104"/>
      <c r="E271" s="104"/>
      <c r="F271" s="104"/>
      <c r="G271" s="104"/>
      <c r="H271" s="104"/>
      <c r="I271" s="104"/>
      <c r="J271" s="104"/>
      <c r="K271" s="106"/>
      <c r="L271" s="106"/>
      <c r="M271" s="257"/>
      <c r="N271" s="105"/>
      <c r="O271" s="106"/>
      <c r="P271" s="105"/>
      <c r="Q271" s="106"/>
      <c r="R271" s="106"/>
      <c r="S271" s="105"/>
      <c r="T271" s="106"/>
      <c r="U271" s="106"/>
      <c r="V271" s="106"/>
    </row>
    <row r="272" spans="1:22" ht="96" x14ac:dyDescent="0.25">
      <c r="A272" s="428" t="s">
        <v>1739</v>
      </c>
      <c r="B272" s="436"/>
      <c r="C272" s="428" t="s">
        <v>1766</v>
      </c>
      <c r="D272" s="463"/>
      <c r="E272" s="463"/>
      <c r="F272" s="463"/>
      <c r="G272" s="463"/>
      <c r="H272" s="463"/>
      <c r="I272" s="463"/>
      <c r="J272" s="463"/>
      <c r="K272" s="460"/>
      <c r="L272" s="460"/>
      <c r="M272" s="461"/>
      <c r="N272" s="462"/>
      <c r="O272" s="460"/>
      <c r="P272" s="462"/>
      <c r="Q272" s="460"/>
      <c r="R272" s="460"/>
      <c r="S272" s="462"/>
      <c r="T272" s="460"/>
      <c r="U272" s="460"/>
      <c r="V272" s="460"/>
    </row>
    <row r="273" spans="1:22" ht="60" x14ac:dyDescent="0.25">
      <c r="A273" s="23" t="s">
        <v>398</v>
      </c>
      <c r="B273" s="279" t="s">
        <v>623</v>
      </c>
      <c r="C273" s="23" t="s">
        <v>399</v>
      </c>
      <c r="D273" s="10" t="s">
        <v>400</v>
      </c>
      <c r="E273" s="10" t="s">
        <v>401</v>
      </c>
      <c r="F273" s="10" t="s">
        <v>1446</v>
      </c>
      <c r="G273" s="24" t="s">
        <v>816</v>
      </c>
      <c r="H273" s="24" t="s">
        <v>1592</v>
      </c>
      <c r="I273" s="10"/>
      <c r="J273" s="10"/>
      <c r="K273" s="258" t="s">
        <v>1027</v>
      </c>
      <c r="L273" s="258" t="s">
        <v>1028</v>
      </c>
      <c r="M273" s="59">
        <v>7200</v>
      </c>
      <c r="N273" s="260" t="s">
        <v>1047</v>
      </c>
      <c r="O273" s="258" t="s">
        <v>1048</v>
      </c>
      <c r="P273" s="10">
        <v>3914</v>
      </c>
      <c r="Q273" s="25"/>
      <c r="R273" s="25"/>
      <c r="S273" s="24"/>
      <c r="T273" s="25"/>
      <c r="U273" s="25"/>
      <c r="V273" s="25"/>
    </row>
    <row r="274" spans="1:22" ht="60" x14ac:dyDescent="0.25">
      <c r="A274" s="23" t="s">
        <v>402</v>
      </c>
      <c r="B274" s="279" t="s">
        <v>624</v>
      </c>
      <c r="C274" s="23" t="s">
        <v>403</v>
      </c>
      <c r="D274" s="10" t="s">
        <v>404</v>
      </c>
      <c r="E274" s="10" t="s">
        <v>401</v>
      </c>
      <c r="F274" s="10" t="s">
        <v>1446</v>
      </c>
      <c r="G274" s="24" t="s">
        <v>816</v>
      </c>
      <c r="H274" s="24" t="s">
        <v>1592</v>
      </c>
      <c r="I274" s="10"/>
      <c r="J274" s="10"/>
      <c r="K274" s="258" t="s">
        <v>1027</v>
      </c>
      <c r="L274" s="258" t="s">
        <v>1028</v>
      </c>
      <c r="M274" s="59">
        <v>5410</v>
      </c>
      <c r="N274" s="260" t="s">
        <v>1047</v>
      </c>
      <c r="O274" s="258" t="s">
        <v>1048</v>
      </c>
      <c r="P274" s="10">
        <v>5410</v>
      </c>
      <c r="Q274" s="25"/>
      <c r="R274" s="25"/>
      <c r="S274" s="24"/>
      <c r="T274" s="25"/>
      <c r="U274" s="25"/>
      <c r="V274" s="25"/>
    </row>
    <row r="275" spans="1:22" ht="72" x14ac:dyDescent="0.25">
      <c r="A275" s="23" t="s">
        <v>405</v>
      </c>
      <c r="B275" s="279" t="s">
        <v>625</v>
      </c>
      <c r="C275" s="23" t="s">
        <v>406</v>
      </c>
      <c r="D275" s="10" t="s">
        <v>407</v>
      </c>
      <c r="E275" s="10" t="s">
        <v>401</v>
      </c>
      <c r="F275" s="10" t="s">
        <v>1446</v>
      </c>
      <c r="G275" s="24" t="s">
        <v>816</v>
      </c>
      <c r="H275" s="24" t="s">
        <v>1592</v>
      </c>
      <c r="I275" s="10"/>
      <c r="J275" s="10"/>
      <c r="K275" s="258" t="s">
        <v>1027</v>
      </c>
      <c r="L275" s="258" t="s">
        <v>1028</v>
      </c>
      <c r="M275" s="59">
        <v>13510</v>
      </c>
      <c r="N275" s="260" t="s">
        <v>1047</v>
      </c>
      <c r="O275" s="258" t="s">
        <v>1048</v>
      </c>
      <c r="P275" s="10">
        <v>13510</v>
      </c>
      <c r="Q275" s="25"/>
      <c r="R275" s="25"/>
      <c r="S275" s="24"/>
      <c r="T275" s="25"/>
      <c r="U275" s="25"/>
      <c r="V275" s="25"/>
    </row>
    <row r="276" spans="1:22" ht="157.5" customHeight="1" x14ac:dyDescent="0.25">
      <c r="A276" s="23" t="s">
        <v>907</v>
      </c>
      <c r="B276" s="279" t="s">
        <v>626</v>
      </c>
      <c r="C276" s="31" t="s">
        <v>128</v>
      </c>
      <c r="D276" s="10" t="s">
        <v>1587</v>
      </c>
      <c r="E276" s="10" t="s">
        <v>401</v>
      </c>
      <c r="F276" s="10" t="s">
        <v>1454</v>
      </c>
      <c r="G276" s="33" t="s">
        <v>1413</v>
      </c>
      <c r="H276" s="10" t="s">
        <v>1586</v>
      </c>
      <c r="I276" s="10"/>
      <c r="J276" s="10"/>
      <c r="K276" s="23" t="s">
        <v>1027</v>
      </c>
      <c r="L276" s="23" t="s">
        <v>1028</v>
      </c>
      <c r="M276" s="59">
        <v>5000</v>
      </c>
      <c r="N276" s="10" t="s">
        <v>1047</v>
      </c>
      <c r="O276" s="23" t="s">
        <v>1048</v>
      </c>
      <c r="P276" s="10">
        <v>5000</v>
      </c>
      <c r="Q276" s="25"/>
      <c r="R276" s="25"/>
      <c r="S276" s="24"/>
      <c r="T276" s="25"/>
      <c r="U276" s="25"/>
      <c r="V276" s="25"/>
    </row>
    <row r="277" spans="1:22" ht="60" x14ac:dyDescent="0.25">
      <c r="A277" s="23" t="s">
        <v>908</v>
      </c>
      <c r="B277" s="279" t="s">
        <v>627</v>
      </c>
      <c r="C277" s="19" t="s">
        <v>40</v>
      </c>
      <c r="D277" s="12" t="s">
        <v>41</v>
      </c>
      <c r="E277" s="13" t="s">
        <v>401</v>
      </c>
      <c r="F277" s="13" t="s">
        <v>1455</v>
      </c>
      <c r="G277" s="33" t="s">
        <v>1413</v>
      </c>
      <c r="H277" s="17"/>
      <c r="I277" s="13"/>
      <c r="J277" s="13"/>
      <c r="K277" s="23" t="s">
        <v>1047</v>
      </c>
      <c r="L277" s="23" t="s">
        <v>1048</v>
      </c>
      <c r="M277" s="259">
        <v>10000</v>
      </c>
      <c r="N277" s="24"/>
      <c r="O277" s="25"/>
      <c r="P277" s="24"/>
      <c r="Q277" s="25"/>
      <c r="R277" s="25"/>
      <c r="S277" s="24"/>
      <c r="T277" s="25"/>
      <c r="U277" s="25"/>
      <c r="V277" s="25"/>
    </row>
    <row r="278" spans="1:22" ht="72" x14ac:dyDescent="0.25">
      <c r="A278" s="23" t="s">
        <v>909</v>
      </c>
      <c r="B278" s="279" t="s">
        <v>628</v>
      </c>
      <c r="C278" s="19" t="s">
        <v>828</v>
      </c>
      <c r="D278" s="9" t="s">
        <v>1443</v>
      </c>
      <c r="E278" s="13" t="s">
        <v>401</v>
      </c>
      <c r="F278" s="13" t="s">
        <v>1455</v>
      </c>
      <c r="G278" s="17" t="s">
        <v>816</v>
      </c>
      <c r="H278" s="17"/>
      <c r="I278" s="13"/>
      <c r="J278" s="13"/>
      <c r="K278" s="23" t="s">
        <v>1031</v>
      </c>
      <c r="L278" s="23" t="s">
        <v>1032</v>
      </c>
      <c r="M278" s="259">
        <v>500</v>
      </c>
      <c r="N278" s="24"/>
      <c r="O278" s="25"/>
      <c r="P278" s="24"/>
      <c r="Q278" s="25"/>
      <c r="R278" s="25"/>
      <c r="S278" s="24"/>
      <c r="T278" s="25"/>
      <c r="U278" s="25"/>
      <c r="V278" s="25"/>
    </row>
    <row r="279" spans="1:22" ht="129.75" customHeight="1" x14ac:dyDescent="0.25">
      <c r="A279" s="23" t="s">
        <v>910</v>
      </c>
      <c r="B279" s="279" t="s">
        <v>629</v>
      </c>
      <c r="C279" s="19" t="s">
        <v>1221</v>
      </c>
      <c r="D279" s="13" t="s">
        <v>1443</v>
      </c>
      <c r="E279" s="13" t="s">
        <v>401</v>
      </c>
      <c r="F279" s="13" t="s">
        <v>1455</v>
      </c>
      <c r="G279" s="17" t="s">
        <v>816</v>
      </c>
      <c r="H279" s="17"/>
      <c r="I279" s="13"/>
      <c r="J279" s="13"/>
      <c r="K279" s="23" t="s">
        <v>1165</v>
      </c>
      <c r="L279" s="23" t="s">
        <v>1166</v>
      </c>
      <c r="M279" s="259">
        <v>1</v>
      </c>
      <c r="N279" s="24"/>
      <c r="O279" s="25"/>
      <c r="P279" s="24"/>
      <c r="Q279" s="25"/>
      <c r="R279" s="25"/>
      <c r="S279" s="24"/>
      <c r="T279" s="25"/>
      <c r="U279" s="25"/>
      <c r="V279" s="25"/>
    </row>
    <row r="280" spans="1:22" ht="72" x14ac:dyDescent="0.25">
      <c r="A280" s="23" t="s">
        <v>911</v>
      </c>
      <c r="B280" s="279" t="s">
        <v>630</v>
      </c>
      <c r="C280" s="23" t="s">
        <v>862</v>
      </c>
      <c r="D280" s="10" t="s">
        <v>1200</v>
      </c>
      <c r="E280" s="10" t="s">
        <v>401</v>
      </c>
      <c r="F280" s="10" t="s">
        <v>1400</v>
      </c>
      <c r="G280" s="9" t="s">
        <v>1413</v>
      </c>
      <c r="H280" s="24" t="s">
        <v>1586</v>
      </c>
      <c r="I280" s="10" t="s">
        <v>858</v>
      </c>
      <c r="J280" s="10"/>
      <c r="K280" s="25" t="s">
        <v>1165</v>
      </c>
      <c r="L280" s="23" t="s">
        <v>1166</v>
      </c>
      <c r="M280" s="259">
        <v>1</v>
      </c>
      <c r="N280" s="24" t="s">
        <v>1027</v>
      </c>
      <c r="O280" s="23" t="s">
        <v>1028</v>
      </c>
      <c r="P280" s="24">
        <v>34904</v>
      </c>
      <c r="Q280" s="25"/>
      <c r="R280" s="25"/>
      <c r="S280" s="24"/>
      <c r="T280" s="25"/>
      <c r="U280" s="25"/>
      <c r="V280" s="25"/>
    </row>
    <row r="281" spans="1:22" ht="84" x14ac:dyDescent="0.25">
      <c r="A281" s="23" t="s">
        <v>912</v>
      </c>
      <c r="B281" s="279" t="s">
        <v>631</v>
      </c>
      <c r="C281" s="23" t="s">
        <v>863</v>
      </c>
      <c r="D281" s="10" t="s">
        <v>1201</v>
      </c>
      <c r="E281" s="10" t="s">
        <v>401</v>
      </c>
      <c r="F281" s="10" t="s">
        <v>1400</v>
      </c>
      <c r="G281" s="9" t="s">
        <v>1413</v>
      </c>
      <c r="H281" s="24" t="s">
        <v>1586</v>
      </c>
      <c r="I281" s="10" t="s">
        <v>858</v>
      </c>
      <c r="J281" s="10"/>
      <c r="K281" s="25" t="s">
        <v>1165</v>
      </c>
      <c r="L281" s="23" t="s">
        <v>1166</v>
      </c>
      <c r="M281" s="259">
        <v>1</v>
      </c>
      <c r="N281" s="24" t="s">
        <v>1027</v>
      </c>
      <c r="O281" s="23" t="s">
        <v>1028</v>
      </c>
      <c r="P281" s="24">
        <v>30041</v>
      </c>
      <c r="Q281" s="25"/>
      <c r="R281" s="25"/>
      <c r="S281" s="24"/>
      <c r="T281" s="25"/>
      <c r="U281" s="25"/>
      <c r="V281" s="25"/>
    </row>
    <row r="282" spans="1:22" ht="24" x14ac:dyDescent="0.25">
      <c r="A282" s="428" t="s">
        <v>1740</v>
      </c>
      <c r="B282" s="436"/>
      <c r="C282" s="428" t="s">
        <v>1767</v>
      </c>
      <c r="D282" s="463"/>
      <c r="E282" s="463"/>
      <c r="F282" s="463"/>
      <c r="G282" s="463"/>
      <c r="H282" s="463"/>
      <c r="I282" s="463"/>
      <c r="J282" s="463"/>
      <c r="K282" s="460"/>
      <c r="L282" s="460"/>
      <c r="M282" s="461"/>
      <c r="N282" s="462"/>
      <c r="O282" s="460"/>
      <c r="P282" s="462"/>
      <c r="Q282" s="460"/>
      <c r="R282" s="460"/>
      <c r="S282" s="462"/>
      <c r="T282" s="460"/>
      <c r="U282" s="460"/>
      <c r="V282" s="460"/>
    </row>
    <row r="283" spans="1:22" ht="36" x14ac:dyDescent="0.25">
      <c r="A283" s="428" t="s">
        <v>1741</v>
      </c>
      <c r="B283" s="436"/>
      <c r="C283" s="428" t="s">
        <v>1768</v>
      </c>
      <c r="D283" s="463"/>
      <c r="E283" s="463"/>
      <c r="F283" s="463"/>
      <c r="G283" s="463"/>
      <c r="H283" s="463"/>
      <c r="I283" s="463"/>
      <c r="J283" s="463"/>
      <c r="K283" s="460"/>
      <c r="L283" s="460"/>
      <c r="M283" s="461"/>
      <c r="N283" s="462"/>
      <c r="O283" s="460"/>
      <c r="P283" s="462"/>
      <c r="Q283" s="460"/>
      <c r="R283" s="460"/>
      <c r="S283" s="462"/>
      <c r="T283" s="460"/>
      <c r="U283" s="460"/>
      <c r="V283" s="460"/>
    </row>
    <row r="284" spans="1:22" ht="72" x14ac:dyDescent="0.25">
      <c r="A284" s="23" t="s">
        <v>1155</v>
      </c>
      <c r="B284" s="279" t="s">
        <v>632</v>
      </c>
      <c r="C284" s="23" t="s">
        <v>1156</v>
      </c>
      <c r="D284" s="10" t="s">
        <v>1145</v>
      </c>
      <c r="E284" s="10" t="s">
        <v>401</v>
      </c>
      <c r="F284" s="10" t="s">
        <v>1147</v>
      </c>
      <c r="G284" s="10" t="s">
        <v>1413</v>
      </c>
      <c r="H284" s="24" t="s">
        <v>1586</v>
      </c>
      <c r="I284" s="10"/>
      <c r="J284" s="10"/>
      <c r="K284" s="258" t="s">
        <v>1047</v>
      </c>
      <c r="L284" s="258" t="s">
        <v>1048</v>
      </c>
      <c r="M284" s="259">
        <v>200</v>
      </c>
      <c r="N284" s="24"/>
      <c r="O284" s="25"/>
      <c r="P284" s="24"/>
      <c r="Q284" s="25"/>
      <c r="R284" s="25"/>
      <c r="S284" s="24"/>
      <c r="T284" s="25"/>
      <c r="U284" s="25"/>
      <c r="V284" s="25"/>
    </row>
    <row r="285" spans="1:22" ht="96" x14ac:dyDescent="0.25">
      <c r="A285" s="23" t="s">
        <v>1847</v>
      </c>
      <c r="B285" s="472" t="s">
        <v>1861</v>
      </c>
      <c r="C285" s="23" t="s">
        <v>1854</v>
      </c>
      <c r="D285" s="11" t="s">
        <v>1584</v>
      </c>
      <c r="E285" s="11" t="s">
        <v>401</v>
      </c>
      <c r="F285" s="11" t="s">
        <v>1436</v>
      </c>
      <c r="G285" s="11" t="s">
        <v>1871</v>
      </c>
      <c r="H285" s="22" t="s">
        <v>1586</v>
      </c>
      <c r="I285" s="10"/>
      <c r="J285" s="10"/>
      <c r="K285" s="258" t="s">
        <v>1872</v>
      </c>
      <c r="L285" s="258" t="s">
        <v>1873</v>
      </c>
      <c r="M285" s="259">
        <v>26</v>
      </c>
      <c r="N285" s="24"/>
      <c r="O285" s="25"/>
      <c r="P285" s="24"/>
      <c r="Q285" s="25"/>
      <c r="R285" s="25"/>
      <c r="S285" s="24"/>
      <c r="T285" s="25"/>
      <c r="U285" s="25"/>
      <c r="V285" s="25"/>
    </row>
    <row r="286" spans="1:22" ht="96" x14ac:dyDescent="0.25">
      <c r="A286" s="23" t="s">
        <v>1848</v>
      </c>
      <c r="B286" s="472" t="s">
        <v>1862</v>
      </c>
      <c r="C286" s="23" t="s">
        <v>1855</v>
      </c>
      <c r="D286" s="11" t="s">
        <v>1868</v>
      </c>
      <c r="E286" s="11" t="s">
        <v>401</v>
      </c>
      <c r="F286" s="11" t="s">
        <v>1456</v>
      </c>
      <c r="G286" s="11" t="s">
        <v>1871</v>
      </c>
      <c r="H286" s="22" t="s">
        <v>1586</v>
      </c>
      <c r="I286" s="10"/>
      <c r="J286" s="10"/>
      <c r="K286" s="258" t="s">
        <v>1872</v>
      </c>
      <c r="L286" s="258" t="s">
        <v>1873</v>
      </c>
      <c r="M286" s="259">
        <v>26</v>
      </c>
      <c r="N286" s="24"/>
      <c r="O286" s="25"/>
      <c r="P286" s="24"/>
      <c r="Q286" s="25"/>
      <c r="R286" s="25"/>
      <c r="S286" s="24"/>
      <c r="T286" s="25"/>
      <c r="U286" s="25"/>
      <c r="V286" s="25"/>
    </row>
    <row r="287" spans="1:22" ht="96" x14ac:dyDescent="0.25">
      <c r="A287" s="23" t="s">
        <v>1849</v>
      </c>
      <c r="B287" s="472" t="s">
        <v>1863</v>
      </c>
      <c r="C287" s="23" t="s">
        <v>1856</v>
      </c>
      <c r="D287" s="11" t="s">
        <v>41</v>
      </c>
      <c r="E287" s="11" t="s">
        <v>401</v>
      </c>
      <c r="F287" s="11" t="s">
        <v>1455</v>
      </c>
      <c r="G287" s="11" t="s">
        <v>1871</v>
      </c>
      <c r="H287" s="22" t="s">
        <v>1586</v>
      </c>
      <c r="I287" s="10"/>
      <c r="J287" s="10"/>
      <c r="K287" s="258" t="s">
        <v>1872</v>
      </c>
      <c r="L287" s="258" t="s">
        <v>1873</v>
      </c>
      <c r="M287" s="259">
        <v>44</v>
      </c>
      <c r="N287" s="24"/>
      <c r="O287" s="25"/>
      <c r="P287" s="24"/>
      <c r="Q287" s="25"/>
      <c r="R287" s="25"/>
      <c r="S287" s="24"/>
      <c r="T287" s="25"/>
      <c r="U287" s="25"/>
      <c r="V287" s="25"/>
    </row>
    <row r="288" spans="1:22" ht="96" x14ac:dyDescent="0.25">
      <c r="A288" s="23" t="s">
        <v>1850</v>
      </c>
      <c r="B288" s="472" t="s">
        <v>1864</v>
      </c>
      <c r="C288" s="23" t="s">
        <v>1857</v>
      </c>
      <c r="D288" s="11" t="s">
        <v>1587</v>
      </c>
      <c r="E288" s="11" t="s">
        <v>401</v>
      </c>
      <c r="F288" s="11" t="s">
        <v>1454</v>
      </c>
      <c r="G288" s="11" t="s">
        <v>1871</v>
      </c>
      <c r="H288" s="22" t="s">
        <v>1586</v>
      </c>
      <c r="I288" s="10"/>
      <c r="J288" s="10"/>
      <c r="K288" s="258" t="s">
        <v>1872</v>
      </c>
      <c r="L288" s="258" t="s">
        <v>1873</v>
      </c>
      <c r="M288" s="259">
        <v>61</v>
      </c>
      <c r="N288" s="24"/>
      <c r="O288" s="25"/>
      <c r="P288" s="24"/>
      <c r="Q288" s="25"/>
      <c r="R288" s="25"/>
      <c r="S288" s="24"/>
      <c r="T288" s="25"/>
      <c r="U288" s="25"/>
      <c r="V288" s="25"/>
    </row>
    <row r="289" spans="1:22" ht="96" x14ac:dyDescent="0.25">
      <c r="A289" s="23" t="s">
        <v>1851</v>
      </c>
      <c r="B289" s="472" t="s">
        <v>1865</v>
      </c>
      <c r="C289" s="23" t="s">
        <v>1858</v>
      </c>
      <c r="D289" s="11" t="s">
        <v>850</v>
      </c>
      <c r="E289" s="11" t="s">
        <v>401</v>
      </c>
      <c r="F289" s="11" t="s">
        <v>1400</v>
      </c>
      <c r="G289" s="11" t="s">
        <v>1871</v>
      </c>
      <c r="H289" s="22" t="s">
        <v>1586</v>
      </c>
      <c r="I289" s="10"/>
      <c r="J289" s="10"/>
      <c r="K289" s="258" t="s">
        <v>1872</v>
      </c>
      <c r="L289" s="258" t="s">
        <v>1873</v>
      </c>
      <c r="M289" s="259">
        <v>177</v>
      </c>
      <c r="N289" s="24"/>
      <c r="O289" s="25"/>
      <c r="P289" s="24"/>
      <c r="Q289" s="25"/>
      <c r="R289" s="25"/>
      <c r="S289" s="24"/>
      <c r="T289" s="25"/>
      <c r="U289" s="25"/>
      <c r="V289" s="25"/>
    </row>
    <row r="290" spans="1:22" ht="96" x14ac:dyDescent="0.25">
      <c r="A290" s="23" t="s">
        <v>1852</v>
      </c>
      <c r="B290" s="472" t="s">
        <v>1866</v>
      </c>
      <c r="C290" s="23" t="s">
        <v>1859</v>
      </c>
      <c r="D290" s="11" t="s">
        <v>1869</v>
      </c>
      <c r="E290" s="11" t="s">
        <v>401</v>
      </c>
      <c r="F290" s="11" t="s">
        <v>1446</v>
      </c>
      <c r="G290" s="11" t="s">
        <v>1871</v>
      </c>
      <c r="H290" s="22" t="s">
        <v>1586</v>
      </c>
      <c r="I290" s="10"/>
      <c r="J290" s="10"/>
      <c r="K290" s="258" t="s">
        <v>1872</v>
      </c>
      <c r="L290" s="258" t="s">
        <v>1873</v>
      </c>
      <c r="M290" s="259">
        <v>66</v>
      </c>
      <c r="N290" s="24"/>
      <c r="O290" s="25"/>
      <c r="P290" s="24"/>
      <c r="Q290" s="25"/>
      <c r="R290" s="25"/>
      <c r="S290" s="24"/>
      <c r="T290" s="25"/>
      <c r="U290" s="25"/>
      <c r="V290" s="25"/>
    </row>
    <row r="291" spans="1:22" ht="96" x14ac:dyDescent="0.25">
      <c r="A291" s="23" t="s">
        <v>1853</v>
      </c>
      <c r="B291" s="472" t="s">
        <v>1867</v>
      </c>
      <c r="C291" s="23" t="s">
        <v>1860</v>
      </c>
      <c r="D291" s="11" t="s">
        <v>1870</v>
      </c>
      <c r="E291" s="11" t="s">
        <v>401</v>
      </c>
      <c r="F291" s="11" t="s">
        <v>1441</v>
      </c>
      <c r="G291" s="11" t="s">
        <v>1871</v>
      </c>
      <c r="H291" s="22" t="s">
        <v>1586</v>
      </c>
      <c r="I291" s="10"/>
      <c r="J291" s="10"/>
      <c r="K291" s="258" t="s">
        <v>1872</v>
      </c>
      <c r="L291" s="258" t="s">
        <v>1873</v>
      </c>
      <c r="M291" s="259">
        <v>54</v>
      </c>
      <c r="N291" s="24"/>
      <c r="O291" s="25"/>
      <c r="P291" s="24"/>
      <c r="Q291" s="25"/>
      <c r="R291" s="25"/>
      <c r="S291" s="24"/>
      <c r="T291" s="25"/>
      <c r="U291" s="25"/>
      <c r="V291" s="25"/>
    </row>
    <row r="292" spans="1:22" ht="84" x14ac:dyDescent="0.25">
      <c r="A292" s="41" t="s">
        <v>1646</v>
      </c>
      <c r="B292" s="45"/>
      <c r="C292" s="41" t="s">
        <v>1647</v>
      </c>
      <c r="D292" s="101"/>
      <c r="E292" s="101"/>
      <c r="F292" s="101"/>
      <c r="G292" s="101"/>
      <c r="H292" s="101"/>
      <c r="I292" s="101"/>
      <c r="J292" s="101"/>
      <c r="K292" s="103"/>
      <c r="L292" s="103"/>
      <c r="M292" s="256"/>
      <c r="N292" s="102"/>
      <c r="O292" s="103"/>
      <c r="P292" s="102"/>
      <c r="Q292" s="103"/>
      <c r="R292" s="103"/>
      <c r="S292" s="102"/>
      <c r="T292" s="103"/>
      <c r="U292" s="103"/>
      <c r="V292" s="103"/>
    </row>
    <row r="293" spans="1:22" ht="60" x14ac:dyDescent="0.25">
      <c r="A293" s="43" t="s">
        <v>1648</v>
      </c>
      <c r="B293" s="44"/>
      <c r="C293" s="43" t="s">
        <v>1649</v>
      </c>
      <c r="D293" s="104"/>
      <c r="E293" s="104"/>
      <c r="F293" s="104"/>
      <c r="G293" s="104"/>
      <c r="H293" s="104"/>
      <c r="I293" s="104"/>
      <c r="J293" s="104"/>
      <c r="K293" s="106"/>
      <c r="L293" s="106"/>
      <c r="M293" s="257"/>
      <c r="N293" s="105"/>
      <c r="O293" s="106"/>
      <c r="P293" s="105"/>
      <c r="Q293" s="106"/>
      <c r="R293" s="106"/>
      <c r="S293" s="105"/>
      <c r="T293" s="106"/>
      <c r="U293" s="106"/>
      <c r="V293" s="106"/>
    </row>
    <row r="294" spans="1:22" ht="36" x14ac:dyDescent="0.25">
      <c r="A294" s="428" t="s">
        <v>1742</v>
      </c>
      <c r="B294" s="436"/>
      <c r="C294" s="428" t="s">
        <v>1770</v>
      </c>
      <c r="D294" s="463"/>
      <c r="E294" s="463"/>
      <c r="F294" s="463"/>
      <c r="G294" s="463"/>
      <c r="H294" s="463"/>
      <c r="I294" s="463"/>
      <c r="J294" s="463"/>
      <c r="K294" s="460"/>
      <c r="L294" s="460"/>
      <c r="M294" s="461"/>
      <c r="N294" s="462"/>
      <c r="O294" s="460"/>
      <c r="P294" s="462"/>
      <c r="Q294" s="460"/>
      <c r="R294" s="460"/>
      <c r="S294" s="462"/>
      <c r="T294" s="460"/>
      <c r="U294" s="460"/>
      <c r="V294" s="460"/>
    </row>
    <row r="295" spans="1:22" ht="60" x14ac:dyDescent="0.25">
      <c r="A295" s="23" t="s">
        <v>408</v>
      </c>
      <c r="B295" s="279" t="s">
        <v>633</v>
      </c>
      <c r="C295" s="23" t="s">
        <v>772</v>
      </c>
      <c r="D295" s="10" t="s">
        <v>1590</v>
      </c>
      <c r="E295" s="10" t="s">
        <v>1588</v>
      </c>
      <c r="F295" s="10" t="s">
        <v>1446</v>
      </c>
      <c r="G295" s="24" t="s">
        <v>816</v>
      </c>
      <c r="H295" s="24" t="s">
        <v>1592</v>
      </c>
      <c r="I295" s="10"/>
      <c r="J295" s="10"/>
      <c r="K295" s="258" t="s">
        <v>1045</v>
      </c>
      <c r="L295" s="258" t="s">
        <v>1046</v>
      </c>
      <c r="M295" s="59">
        <v>1</v>
      </c>
      <c r="N295" s="24"/>
      <c r="O295" s="25"/>
      <c r="P295" s="24"/>
      <c r="Q295" s="25"/>
      <c r="R295" s="25"/>
      <c r="S295" s="24"/>
      <c r="T295" s="25"/>
      <c r="U295" s="25"/>
      <c r="V295" s="25"/>
    </row>
    <row r="296" spans="1:22" ht="48" x14ac:dyDescent="0.25">
      <c r="A296" s="23" t="s">
        <v>913</v>
      </c>
      <c r="B296" s="279" t="s">
        <v>634</v>
      </c>
      <c r="C296" s="48" t="s">
        <v>5</v>
      </c>
      <c r="D296" s="9" t="s">
        <v>1443</v>
      </c>
      <c r="E296" s="13" t="s">
        <v>1588</v>
      </c>
      <c r="F296" s="9" t="s">
        <v>1455</v>
      </c>
      <c r="G296" s="13" t="s">
        <v>816</v>
      </c>
      <c r="H296" s="13" t="s">
        <v>1586</v>
      </c>
      <c r="I296" s="13"/>
      <c r="J296" s="13"/>
      <c r="K296" s="23" t="s">
        <v>1045</v>
      </c>
      <c r="L296" s="23" t="s">
        <v>1046</v>
      </c>
      <c r="M296" s="259">
        <v>1</v>
      </c>
      <c r="N296" s="24"/>
      <c r="O296" s="25"/>
      <c r="P296" s="24"/>
      <c r="Q296" s="25"/>
      <c r="R296" s="25"/>
      <c r="S296" s="24"/>
      <c r="T296" s="25"/>
      <c r="U296" s="25"/>
      <c r="V296" s="25"/>
    </row>
    <row r="297" spans="1:22" ht="48" x14ac:dyDescent="0.25">
      <c r="A297" s="23" t="s">
        <v>914</v>
      </c>
      <c r="B297" s="279" t="s">
        <v>635</v>
      </c>
      <c r="C297" s="30" t="s">
        <v>91</v>
      </c>
      <c r="D297" s="10" t="s">
        <v>864</v>
      </c>
      <c r="E297" s="10" t="s">
        <v>1588</v>
      </c>
      <c r="F297" s="10" t="s">
        <v>1400</v>
      </c>
      <c r="G297" s="9" t="s">
        <v>1414</v>
      </c>
      <c r="H297" s="24" t="s">
        <v>1592</v>
      </c>
      <c r="I297" s="10" t="s">
        <v>858</v>
      </c>
      <c r="J297" s="10"/>
      <c r="K297" s="25" t="s">
        <v>1045</v>
      </c>
      <c r="L297" s="23" t="s">
        <v>1167</v>
      </c>
      <c r="M297" s="259">
        <v>1</v>
      </c>
      <c r="N297" s="24"/>
      <c r="O297" s="25"/>
      <c r="P297" s="24"/>
      <c r="Q297" s="25"/>
      <c r="R297" s="25"/>
      <c r="S297" s="24"/>
      <c r="T297" s="25"/>
      <c r="U297" s="25"/>
      <c r="V297" s="25"/>
    </row>
    <row r="298" spans="1:22" ht="36" x14ac:dyDescent="0.25">
      <c r="A298" s="23" t="s">
        <v>915</v>
      </c>
      <c r="B298" s="279" t="s">
        <v>636</v>
      </c>
      <c r="C298" s="30" t="s">
        <v>130</v>
      </c>
      <c r="D298" s="10" t="s">
        <v>865</v>
      </c>
      <c r="E298" s="10" t="s">
        <v>1588</v>
      </c>
      <c r="F298" s="10" t="s">
        <v>1400</v>
      </c>
      <c r="G298" s="9" t="s">
        <v>1414</v>
      </c>
      <c r="H298" s="24" t="s">
        <v>1592</v>
      </c>
      <c r="I298" s="10" t="s">
        <v>858</v>
      </c>
      <c r="J298" s="10"/>
      <c r="K298" s="25" t="s">
        <v>1045</v>
      </c>
      <c r="L298" s="23" t="s">
        <v>1167</v>
      </c>
      <c r="M298" s="259">
        <v>1</v>
      </c>
      <c r="N298" s="24"/>
      <c r="O298" s="25"/>
      <c r="P298" s="24"/>
      <c r="Q298" s="25"/>
      <c r="R298" s="25"/>
      <c r="S298" s="24"/>
      <c r="T298" s="25"/>
      <c r="U298" s="25"/>
      <c r="V298" s="25"/>
    </row>
    <row r="299" spans="1:22" ht="36" x14ac:dyDescent="0.25">
      <c r="A299" s="23" t="s">
        <v>916</v>
      </c>
      <c r="B299" s="279" t="s">
        <v>637</v>
      </c>
      <c r="C299" s="30" t="s">
        <v>127</v>
      </c>
      <c r="D299" s="10" t="s">
        <v>866</v>
      </c>
      <c r="E299" s="10" t="s">
        <v>1588</v>
      </c>
      <c r="F299" s="10" t="s">
        <v>1400</v>
      </c>
      <c r="G299" s="9" t="s">
        <v>1414</v>
      </c>
      <c r="H299" s="24" t="s">
        <v>1592</v>
      </c>
      <c r="I299" s="10" t="s">
        <v>858</v>
      </c>
      <c r="J299" s="10"/>
      <c r="K299" s="25" t="s">
        <v>1045</v>
      </c>
      <c r="L299" s="23" t="s">
        <v>1167</v>
      </c>
      <c r="M299" s="259">
        <v>1</v>
      </c>
      <c r="N299" s="24"/>
      <c r="O299" s="25"/>
      <c r="P299" s="24"/>
      <c r="Q299" s="25"/>
      <c r="R299" s="25"/>
      <c r="S299" s="24"/>
      <c r="T299" s="25"/>
      <c r="U299" s="25"/>
      <c r="V299" s="25"/>
    </row>
    <row r="300" spans="1:22" ht="36" x14ac:dyDescent="0.25">
      <c r="A300" s="23" t="s">
        <v>917</v>
      </c>
      <c r="B300" s="279" t="s">
        <v>638</v>
      </c>
      <c r="C300" s="23" t="s">
        <v>867</v>
      </c>
      <c r="D300" s="10" t="s">
        <v>868</v>
      </c>
      <c r="E300" s="10" t="s">
        <v>1588</v>
      </c>
      <c r="F300" s="10" t="s">
        <v>1400</v>
      </c>
      <c r="G300" s="9" t="s">
        <v>1414</v>
      </c>
      <c r="H300" s="24" t="s">
        <v>1592</v>
      </c>
      <c r="I300" s="10" t="s">
        <v>858</v>
      </c>
      <c r="J300" s="10"/>
      <c r="K300" s="25" t="s">
        <v>1045</v>
      </c>
      <c r="L300" s="23" t="s">
        <v>1167</v>
      </c>
      <c r="M300" s="259">
        <v>1</v>
      </c>
      <c r="N300" s="24"/>
      <c r="O300" s="25"/>
      <c r="P300" s="24"/>
      <c r="Q300" s="25"/>
      <c r="R300" s="25"/>
      <c r="S300" s="24"/>
      <c r="T300" s="25"/>
      <c r="U300" s="25"/>
      <c r="V300" s="25"/>
    </row>
    <row r="301" spans="1:22" ht="36" x14ac:dyDescent="0.25">
      <c r="A301" s="428" t="s">
        <v>1743</v>
      </c>
      <c r="B301" s="436"/>
      <c r="C301" s="428" t="s">
        <v>1771</v>
      </c>
      <c r="D301" s="463"/>
      <c r="E301" s="463"/>
      <c r="F301" s="463"/>
      <c r="G301" s="463"/>
      <c r="H301" s="463"/>
      <c r="I301" s="463"/>
      <c r="J301" s="463"/>
      <c r="K301" s="460"/>
      <c r="L301" s="460"/>
      <c r="M301" s="461"/>
      <c r="N301" s="462"/>
      <c r="O301" s="460"/>
      <c r="P301" s="462"/>
      <c r="Q301" s="460"/>
      <c r="R301" s="460"/>
      <c r="S301" s="462"/>
      <c r="T301" s="460"/>
      <c r="U301" s="460"/>
      <c r="V301" s="460"/>
    </row>
    <row r="302" spans="1:22" ht="84" x14ac:dyDescent="0.25">
      <c r="A302" s="428" t="s">
        <v>1744</v>
      </c>
      <c r="B302" s="436"/>
      <c r="C302" s="428" t="s">
        <v>1772</v>
      </c>
      <c r="D302" s="463"/>
      <c r="E302" s="463"/>
      <c r="F302" s="463"/>
      <c r="G302" s="463"/>
      <c r="H302" s="463"/>
      <c r="I302" s="463"/>
      <c r="J302" s="463"/>
      <c r="K302" s="460"/>
      <c r="L302" s="460"/>
      <c r="M302" s="461"/>
      <c r="N302" s="462"/>
      <c r="O302" s="460"/>
      <c r="P302" s="462"/>
      <c r="Q302" s="460"/>
      <c r="R302" s="460"/>
      <c r="S302" s="462"/>
      <c r="T302" s="460"/>
      <c r="U302" s="460"/>
      <c r="V302" s="460"/>
    </row>
    <row r="303" spans="1:22" ht="36" x14ac:dyDescent="0.25">
      <c r="A303" s="428" t="s">
        <v>1745</v>
      </c>
      <c r="B303" s="436"/>
      <c r="C303" s="428" t="s">
        <v>1773</v>
      </c>
      <c r="D303" s="463"/>
      <c r="E303" s="463"/>
      <c r="F303" s="463"/>
      <c r="G303" s="463"/>
      <c r="H303" s="463"/>
      <c r="I303" s="463"/>
      <c r="J303" s="463"/>
      <c r="K303" s="460"/>
      <c r="L303" s="460"/>
      <c r="M303" s="461"/>
      <c r="N303" s="462"/>
      <c r="O303" s="460"/>
      <c r="P303" s="462"/>
      <c r="Q303" s="460"/>
      <c r="R303" s="460"/>
      <c r="S303" s="462"/>
      <c r="T303" s="460"/>
      <c r="U303" s="460"/>
      <c r="V303" s="460"/>
    </row>
    <row r="304" spans="1:22" ht="60" x14ac:dyDescent="0.25">
      <c r="A304" s="23" t="s">
        <v>808</v>
      </c>
      <c r="B304" s="279" t="s">
        <v>639</v>
      </c>
      <c r="C304" s="30" t="s">
        <v>1340</v>
      </c>
      <c r="D304" s="10" t="s">
        <v>812</v>
      </c>
      <c r="E304" s="10" t="s">
        <v>776</v>
      </c>
      <c r="F304" s="10" t="s">
        <v>1454</v>
      </c>
      <c r="G304" s="47" t="s">
        <v>47</v>
      </c>
      <c r="H304" s="10" t="s">
        <v>1586</v>
      </c>
      <c r="I304" s="10"/>
      <c r="J304" s="10"/>
      <c r="K304" s="23" t="s">
        <v>1063</v>
      </c>
      <c r="L304" s="23" t="s">
        <v>13</v>
      </c>
      <c r="M304" s="384">
        <v>316.10000000000002</v>
      </c>
      <c r="N304" s="24" t="s">
        <v>74</v>
      </c>
      <c r="O304" s="23" t="s">
        <v>1341</v>
      </c>
      <c r="P304" s="24">
        <v>100</v>
      </c>
      <c r="Q304" s="25"/>
      <c r="R304" s="25"/>
      <c r="S304" s="24"/>
      <c r="T304" s="25"/>
      <c r="U304" s="25"/>
      <c r="V304" s="25"/>
    </row>
    <row r="305" spans="1:22" ht="60" x14ac:dyDescent="0.25">
      <c r="A305" s="23" t="s">
        <v>8</v>
      </c>
      <c r="B305" s="279" t="s">
        <v>640</v>
      </c>
      <c r="C305" s="30" t="s">
        <v>9</v>
      </c>
      <c r="D305" s="27" t="s">
        <v>10</v>
      </c>
      <c r="E305" s="27" t="s">
        <v>776</v>
      </c>
      <c r="F305" s="10" t="s">
        <v>1441</v>
      </c>
      <c r="G305" s="47" t="s">
        <v>47</v>
      </c>
      <c r="H305" s="27" t="s">
        <v>1586</v>
      </c>
      <c r="I305" s="10"/>
      <c r="J305" s="10"/>
      <c r="K305" s="23" t="s">
        <v>1063</v>
      </c>
      <c r="L305" s="23" t="s">
        <v>13</v>
      </c>
      <c r="M305" s="384">
        <v>228.22</v>
      </c>
      <c r="N305" s="24"/>
      <c r="O305" s="25"/>
      <c r="P305" s="24"/>
      <c r="Q305" s="25"/>
      <c r="R305" s="25"/>
      <c r="S305" s="24"/>
      <c r="T305" s="25"/>
      <c r="U305" s="25"/>
      <c r="V305" s="25"/>
    </row>
    <row r="306" spans="1:22" ht="48" x14ac:dyDescent="0.25">
      <c r="A306" s="428" t="s">
        <v>1746</v>
      </c>
      <c r="B306" s="436"/>
      <c r="C306" s="428" t="s">
        <v>1774</v>
      </c>
      <c r="D306" s="463"/>
      <c r="E306" s="463"/>
      <c r="F306" s="463"/>
      <c r="G306" s="463"/>
      <c r="H306" s="463"/>
      <c r="I306" s="463"/>
      <c r="J306" s="463"/>
      <c r="K306" s="460"/>
      <c r="L306" s="460"/>
      <c r="M306" s="461"/>
      <c r="N306" s="462"/>
      <c r="O306" s="460"/>
      <c r="P306" s="462"/>
      <c r="Q306" s="460"/>
      <c r="R306" s="460"/>
      <c r="S306" s="462"/>
      <c r="T306" s="460"/>
      <c r="U306" s="460"/>
      <c r="V306" s="460"/>
    </row>
    <row r="307" spans="1:22" ht="48" x14ac:dyDescent="0.25">
      <c r="A307" s="23" t="s">
        <v>829</v>
      </c>
      <c r="B307" s="279" t="s">
        <v>641</v>
      </c>
      <c r="C307" s="23" t="s">
        <v>810</v>
      </c>
      <c r="D307" s="10" t="s">
        <v>1587</v>
      </c>
      <c r="E307" s="10" t="s">
        <v>1585</v>
      </c>
      <c r="F307" s="10" t="s">
        <v>1454</v>
      </c>
      <c r="G307" s="33" t="s">
        <v>1242</v>
      </c>
      <c r="H307" s="10" t="s">
        <v>1586</v>
      </c>
      <c r="I307" s="10"/>
      <c r="J307" s="10"/>
      <c r="K307" s="23" t="s">
        <v>1077</v>
      </c>
      <c r="L307" s="23" t="s">
        <v>1177</v>
      </c>
      <c r="M307" s="59">
        <v>37866</v>
      </c>
      <c r="N307" s="24"/>
      <c r="O307" s="25"/>
      <c r="P307" s="24"/>
      <c r="Q307" s="25"/>
      <c r="R307" s="25"/>
      <c r="S307" s="24"/>
      <c r="T307" s="25"/>
      <c r="U307" s="25"/>
      <c r="V307" s="25"/>
    </row>
    <row r="308" spans="1:22" ht="128.25" customHeight="1" x14ac:dyDescent="0.25">
      <c r="A308" s="23" t="s">
        <v>809</v>
      </c>
      <c r="B308" s="279" t="s">
        <v>642</v>
      </c>
      <c r="C308" s="19" t="s">
        <v>830</v>
      </c>
      <c r="D308" s="13" t="s">
        <v>1443</v>
      </c>
      <c r="E308" s="15" t="s">
        <v>1585</v>
      </c>
      <c r="F308" s="15" t="s">
        <v>1455</v>
      </c>
      <c r="G308" s="10" t="s">
        <v>1242</v>
      </c>
      <c r="H308" s="17" t="s">
        <v>1586</v>
      </c>
      <c r="I308" s="13"/>
      <c r="J308" s="13"/>
      <c r="K308" s="23" t="s">
        <v>1077</v>
      </c>
      <c r="L308" s="23" t="s">
        <v>1177</v>
      </c>
      <c r="M308" s="259">
        <v>10265</v>
      </c>
      <c r="N308" s="24" t="s">
        <v>1078</v>
      </c>
      <c r="O308" s="23" t="s">
        <v>123</v>
      </c>
      <c r="P308" s="24">
        <v>255.37</v>
      </c>
      <c r="Q308" s="25"/>
      <c r="R308" s="25"/>
      <c r="S308" s="24"/>
      <c r="T308" s="25"/>
      <c r="U308" s="25"/>
      <c r="V308" s="25"/>
    </row>
    <row r="309" spans="1:22" ht="48" x14ac:dyDescent="0.25">
      <c r="A309" s="23" t="s">
        <v>918</v>
      </c>
      <c r="B309" s="279" t="s">
        <v>643</v>
      </c>
      <c r="C309" s="19" t="s">
        <v>831</v>
      </c>
      <c r="D309" s="13" t="s">
        <v>1443</v>
      </c>
      <c r="E309" s="15" t="s">
        <v>1585</v>
      </c>
      <c r="F309" s="15" t="s">
        <v>1455</v>
      </c>
      <c r="G309" s="10" t="s">
        <v>1242</v>
      </c>
      <c r="H309" s="17" t="s">
        <v>1586</v>
      </c>
      <c r="I309" s="13"/>
      <c r="J309" s="13"/>
      <c r="K309" s="23" t="s">
        <v>1077</v>
      </c>
      <c r="L309" s="23" t="s">
        <v>1177</v>
      </c>
      <c r="M309" s="259">
        <v>91148</v>
      </c>
      <c r="N309" s="24"/>
      <c r="O309" s="25"/>
      <c r="P309" s="24"/>
      <c r="Q309" s="25"/>
      <c r="R309" s="25"/>
      <c r="S309" s="24"/>
      <c r="T309" s="25"/>
      <c r="U309" s="25"/>
      <c r="V309" s="25"/>
    </row>
    <row r="310" spans="1:22" ht="72" x14ac:dyDescent="0.25">
      <c r="A310" s="23" t="s">
        <v>919</v>
      </c>
      <c r="B310" s="279" t="s">
        <v>644</v>
      </c>
      <c r="C310" s="348" t="s">
        <v>1331</v>
      </c>
      <c r="D310" s="330" t="s">
        <v>1202</v>
      </c>
      <c r="E310" s="330" t="s">
        <v>776</v>
      </c>
      <c r="F310" s="330" t="s">
        <v>1400</v>
      </c>
      <c r="G310" s="383" t="s">
        <v>47</v>
      </c>
      <c r="H310" s="351" t="s">
        <v>1586</v>
      </c>
      <c r="I310" s="330" t="s">
        <v>858</v>
      </c>
      <c r="J310" s="330"/>
      <c r="K310" s="375" t="s">
        <v>1063</v>
      </c>
      <c r="L310" s="328" t="s">
        <v>1332</v>
      </c>
      <c r="M310" s="376">
        <v>612.75</v>
      </c>
      <c r="N310" s="24"/>
      <c r="O310" s="25"/>
      <c r="P310" s="24"/>
      <c r="Q310" s="25"/>
      <c r="R310" s="25"/>
      <c r="S310" s="24"/>
      <c r="T310" s="25"/>
      <c r="U310" s="25"/>
      <c r="V310" s="25"/>
    </row>
    <row r="311" spans="1:22" ht="49.5" x14ac:dyDescent="0.25">
      <c r="A311" s="23" t="s">
        <v>920</v>
      </c>
      <c r="B311" s="279" t="s">
        <v>645</v>
      </c>
      <c r="C311" s="23" t="s">
        <v>344</v>
      </c>
      <c r="D311" s="10" t="s">
        <v>1590</v>
      </c>
      <c r="E311" s="10" t="s">
        <v>1585</v>
      </c>
      <c r="F311" s="10" t="s">
        <v>1446</v>
      </c>
      <c r="G311" s="93" t="s">
        <v>1242</v>
      </c>
      <c r="H311" s="58" t="s">
        <v>1586</v>
      </c>
      <c r="I311" s="10"/>
      <c r="J311" s="10"/>
      <c r="K311" s="258" t="s">
        <v>1077</v>
      </c>
      <c r="L311" s="258" t="s">
        <v>360</v>
      </c>
      <c r="M311" s="59">
        <v>8440</v>
      </c>
      <c r="N311" s="260"/>
      <c r="O311" s="258"/>
      <c r="P311" s="10"/>
      <c r="Q311" s="25"/>
      <c r="R311" s="25"/>
      <c r="S311" s="24"/>
      <c r="T311" s="25"/>
      <c r="U311" s="25"/>
      <c r="V311" s="25"/>
    </row>
    <row r="312" spans="1:22" ht="49.5" x14ac:dyDescent="0.25">
      <c r="A312" s="23" t="s">
        <v>1142</v>
      </c>
      <c r="B312" s="279" t="s">
        <v>646</v>
      </c>
      <c r="C312" s="328" t="s">
        <v>410</v>
      </c>
      <c r="D312" s="330" t="s">
        <v>1590</v>
      </c>
      <c r="E312" s="385" t="s">
        <v>1585</v>
      </c>
      <c r="F312" s="330" t="s">
        <v>1446</v>
      </c>
      <c r="G312" s="357" t="s">
        <v>1242</v>
      </c>
      <c r="H312" s="386" t="s">
        <v>1586</v>
      </c>
      <c r="I312" s="330"/>
      <c r="J312" s="330"/>
      <c r="K312" s="377" t="s">
        <v>1077</v>
      </c>
      <c r="L312" s="377" t="s">
        <v>433</v>
      </c>
      <c r="M312" s="474">
        <v>10206.5</v>
      </c>
      <c r="N312" s="10"/>
      <c r="O312" s="23"/>
      <c r="P312" s="10"/>
      <c r="Q312" s="25"/>
      <c r="R312" s="25"/>
      <c r="S312" s="24"/>
      <c r="T312" s="25"/>
      <c r="U312" s="25"/>
      <c r="V312" s="25"/>
    </row>
    <row r="313" spans="1:22" ht="49.5" x14ac:dyDescent="0.25">
      <c r="A313" s="23" t="s">
        <v>1143</v>
      </c>
      <c r="B313" s="279" t="s">
        <v>647</v>
      </c>
      <c r="C313" s="30" t="s">
        <v>26</v>
      </c>
      <c r="D313" s="10" t="s">
        <v>1580</v>
      </c>
      <c r="E313" s="28" t="s">
        <v>1585</v>
      </c>
      <c r="F313" s="28" t="s">
        <v>1456</v>
      </c>
      <c r="G313" s="28" t="s">
        <v>1242</v>
      </c>
      <c r="H313" s="58" t="s">
        <v>1586</v>
      </c>
      <c r="I313" s="10"/>
      <c r="J313" s="10"/>
      <c r="K313" s="258" t="s">
        <v>1077</v>
      </c>
      <c r="L313" s="258" t="s">
        <v>360</v>
      </c>
      <c r="M313" s="59">
        <v>40000</v>
      </c>
      <c r="N313" s="10"/>
      <c r="O313" s="23"/>
      <c r="P313" s="10"/>
      <c r="Q313" s="25"/>
      <c r="R313" s="25"/>
      <c r="S313" s="24"/>
      <c r="T313" s="25"/>
      <c r="U313" s="25"/>
      <c r="V313" s="25"/>
    </row>
    <row r="314" spans="1:22" ht="49.5" x14ac:dyDescent="0.25">
      <c r="A314" s="23" t="s">
        <v>25</v>
      </c>
      <c r="B314" s="279" t="s">
        <v>648</v>
      </c>
      <c r="C314" s="30" t="s">
        <v>28</v>
      </c>
      <c r="D314" s="10" t="s">
        <v>1580</v>
      </c>
      <c r="E314" s="28" t="s">
        <v>1585</v>
      </c>
      <c r="F314" s="28" t="s">
        <v>1456</v>
      </c>
      <c r="G314" s="28" t="s">
        <v>1242</v>
      </c>
      <c r="H314" s="58" t="s">
        <v>1586</v>
      </c>
      <c r="I314" s="10"/>
      <c r="J314" s="10" t="s">
        <v>797</v>
      </c>
      <c r="K314" s="258" t="s">
        <v>1077</v>
      </c>
      <c r="L314" s="258" t="s">
        <v>360</v>
      </c>
      <c r="M314" s="59">
        <v>3938</v>
      </c>
      <c r="N314" s="10"/>
      <c r="O314" s="23"/>
      <c r="P314" s="10"/>
      <c r="Q314" s="25"/>
      <c r="R314" s="25"/>
      <c r="S314" s="24"/>
      <c r="T314" s="25"/>
      <c r="U314" s="25"/>
      <c r="V314" s="25"/>
    </row>
    <row r="315" spans="1:22" ht="49.5" x14ac:dyDescent="0.25">
      <c r="A315" s="30" t="s">
        <v>346</v>
      </c>
      <c r="B315" s="279" t="s">
        <v>649</v>
      </c>
      <c r="C315" s="30" t="s">
        <v>347</v>
      </c>
      <c r="D315" s="10" t="s">
        <v>1584</v>
      </c>
      <c r="E315" s="28" t="s">
        <v>1585</v>
      </c>
      <c r="F315" s="28" t="s">
        <v>1436</v>
      </c>
      <c r="G315" s="28" t="s">
        <v>1242</v>
      </c>
      <c r="H315" s="58" t="s">
        <v>1586</v>
      </c>
      <c r="I315" s="10"/>
      <c r="J315" s="10"/>
      <c r="K315" s="258" t="s">
        <v>1077</v>
      </c>
      <c r="L315" s="258" t="s">
        <v>360</v>
      </c>
      <c r="M315" s="59">
        <v>84826</v>
      </c>
      <c r="N315" s="10"/>
      <c r="O315" s="23"/>
      <c r="P315" s="10"/>
      <c r="Q315" s="25"/>
      <c r="R315" s="25"/>
      <c r="S315" s="24"/>
      <c r="T315" s="25"/>
      <c r="U315" s="25"/>
      <c r="V315" s="25"/>
    </row>
    <row r="316" spans="1:22" ht="36" x14ac:dyDescent="0.25">
      <c r="A316" s="428" t="s">
        <v>1769</v>
      </c>
      <c r="B316" s="442"/>
      <c r="C316" s="428" t="s">
        <v>1775</v>
      </c>
      <c r="D316" s="463"/>
      <c r="E316" s="463"/>
      <c r="F316" s="463"/>
      <c r="G316" s="463"/>
      <c r="H316" s="463"/>
      <c r="I316" s="463"/>
      <c r="J316" s="463"/>
      <c r="K316" s="460"/>
      <c r="L316" s="460"/>
      <c r="M316" s="461"/>
      <c r="N316" s="462"/>
      <c r="O316" s="460"/>
      <c r="P316" s="462"/>
      <c r="Q316" s="460"/>
      <c r="R316" s="460"/>
      <c r="S316" s="462"/>
      <c r="T316" s="460"/>
      <c r="U316" s="460"/>
      <c r="V316" s="460"/>
    </row>
    <row r="317" spans="1:22" ht="48" x14ac:dyDescent="0.25">
      <c r="A317" s="42" t="s">
        <v>1650</v>
      </c>
      <c r="B317" s="44"/>
      <c r="C317" s="42" t="s">
        <v>389</v>
      </c>
      <c r="D317" s="104"/>
      <c r="E317" s="104"/>
      <c r="F317" s="104"/>
      <c r="G317" s="104"/>
      <c r="H317" s="104"/>
      <c r="I317" s="104"/>
      <c r="J317" s="104"/>
      <c r="K317" s="106"/>
      <c r="L317" s="106"/>
      <c r="M317" s="257"/>
      <c r="N317" s="105"/>
      <c r="O317" s="106"/>
      <c r="P317" s="105"/>
      <c r="Q317" s="106"/>
      <c r="R317" s="106"/>
      <c r="S317" s="105"/>
      <c r="T317" s="106"/>
      <c r="U317" s="106"/>
      <c r="V317" s="106"/>
    </row>
    <row r="318" spans="1:22" ht="24" x14ac:dyDescent="0.25">
      <c r="A318" s="428" t="s">
        <v>1776</v>
      </c>
      <c r="B318" s="436"/>
      <c r="C318" s="428" t="s">
        <v>1780</v>
      </c>
      <c r="D318" s="463"/>
      <c r="E318" s="463"/>
      <c r="F318" s="463"/>
      <c r="G318" s="463"/>
      <c r="H318" s="463"/>
      <c r="I318" s="463"/>
      <c r="J318" s="463"/>
      <c r="K318" s="460"/>
      <c r="L318" s="460"/>
      <c r="M318" s="461"/>
      <c r="N318" s="462"/>
      <c r="O318" s="460"/>
      <c r="P318" s="462"/>
      <c r="Q318" s="460"/>
      <c r="R318" s="460"/>
      <c r="S318" s="462"/>
      <c r="T318" s="460"/>
      <c r="U318" s="460"/>
      <c r="V318" s="460"/>
    </row>
    <row r="319" spans="1:22" ht="36" x14ac:dyDescent="0.25">
      <c r="A319" s="49" t="s">
        <v>921</v>
      </c>
      <c r="B319" s="279" t="s">
        <v>650</v>
      </c>
      <c r="C319" s="23" t="s">
        <v>140</v>
      </c>
      <c r="D319" s="10" t="s">
        <v>850</v>
      </c>
      <c r="E319" s="10" t="s">
        <v>1585</v>
      </c>
      <c r="F319" s="10" t="s">
        <v>1400</v>
      </c>
      <c r="G319" s="8" t="s">
        <v>1401</v>
      </c>
      <c r="H319" s="24" t="s">
        <v>1586</v>
      </c>
      <c r="I319" s="10" t="s">
        <v>858</v>
      </c>
      <c r="J319" s="10"/>
      <c r="K319" s="25" t="s">
        <v>1031</v>
      </c>
      <c r="L319" s="23" t="s">
        <v>1168</v>
      </c>
      <c r="M319" s="259">
        <v>2000</v>
      </c>
      <c r="N319" s="24"/>
      <c r="O319" s="25"/>
      <c r="P319" s="24"/>
      <c r="Q319" s="25"/>
      <c r="R319" s="25"/>
      <c r="S319" s="24"/>
      <c r="T319" s="25"/>
      <c r="U319" s="25"/>
      <c r="V319" s="25"/>
    </row>
    <row r="320" spans="1:22" ht="72" x14ac:dyDescent="0.25">
      <c r="A320" s="428" t="s">
        <v>1777</v>
      </c>
      <c r="B320" s="436"/>
      <c r="C320" s="428" t="s">
        <v>1781</v>
      </c>
      <c r="D320" s="463"/>
      <c r="E320" s="463"/>
      <c r="F320" s="463"/>
      <c r="G320" s="463"/>
      <c r="H320" s="463"/>
      <c r="I320" s="463"/>
      <c r="J320" s="463"/>
      <c r="K320" s="460"/>
      <c r="L320" s="460"/>
      <c r="M320" s="461"/>
      <c r="N320" s="462"/>
      <c r="O320" s="460"/>
      <c r="P320" s="462"/>
      <c r="Q320" s="460"/>
      <c r="R320" s="460"/>
      <c r="S320" s="462"/>
      <c r="T320" s="460"/>
      <c r="U320" s="460"/>
      <c r="V320" s="460"/>
    </row>
    <row r="321" spans="1:22" ht="60" x14ac:dyDescent="0.25">
      <c r="A321" s="428" t="s">
        <v>1778</v>
      </c>
      <c r="B321" s="436"/>
      <c r="C321" s="428" t="s">
        <v>1782</v>
      </c>
      <c r="D321" s="463"/>
      <c r="E321" s="463"/>
      <c r="F321" s="463"/>
      <c r="G321" s="463"/>
      <c r="H321" s="463"/>
      <c r="I321" s="463"/>
      <c r="J321" s="463"/>
      <c r="K321" s="460"/>
      <c r="L321" s="460"/>
      <c r="M321" s="461"/>
      <c r="N321" s="462"/>
      <c r="O321" s="460"/>
      <c r="P321" s="462"/>
      <c r="Q321" s="460"/>
      <c r="R321" s="460"/>
      <c r="S321" s="462"/>
      <c r="T321" s="460"/>
      <c r="U321" s="460"/>
      <c r="V321" s="460"/>
    </row>
    <row r="322" spans="1:22" ht="48" x14ac:dyDescent="0.25">
      <c r="A322" s="428" t="s">
        <v>1779</v>
      </c>
      <c r="B322" s="436"/>
      <c r="C322" s="428" t="s">
        <v>1783</v>
      </c>
      <c r="D322" s="463"/>
      <c r="E322" s="463"/>
      <c r="F322" s="463"/>
      <c r="G322" s="463"/>
      <c r="H322" s="463"/>
      <c r="I322" s="463"/>
      <c r="J322" s="463"/>
      <c r="K322" s="460"/>
      <c r="L322" s="460"/>
      <c r="M322" s="461"/>
      <c r="N322" s="462"/>
      <c r="O322" s="460"/>
      <c r="P322" s="462"/>
      <c r="Q322" s="460"/>
      <c r="R322" s="460"/>
      <c r="S322" s="462"/>
      <c r="T322" s="460"/>
      <c r="U322" s="460"/>
      <c r="V322" s="460"/>
    </row>
    <row r="323" spans="1:22" ht="48" x14ac:dyDescent="0.25">
      <c r="A323" s="81" t="s">
        <v>1651</v>
      </c>
      <c r="B323" s="45"/>
      <c r="C323" s="41" t="s">
        <v>1654</v>
      </c>
      <c r="D323" s="101"/>
      <c r="E323" s="101"/>
      <c r="F323" s="101"/>
      <c r="G323" s="101"/>
      <c r="H323" s="101"/>
      <c r="I323" s="101"/>
      <c r="J323" s="101"/>
      <c r="K323" s="103"/>
      <c r="L323" s="103"/>
      <c r="M323" s="256"/>
      <c r="N323" s="102"/>
      <c r="O323" s="103"/>
      <c r="P323" s="102"/>
      <c r="Q323" s="103"/>
      <c r="R323" s="103"/>
      <c r="S323" s="102"/>
      <c r="T323" s="103"/>
      <c r="U323" s="103"/>
      <c r="V323" s="103"/>
    </row>
    <row r="324" spans="1:22" ht="48" x14ac:dyDescent="0.25">
      <c r="A324" s="42" t="s">
        <v>1655</v>
      </c>
      <c r="B324" s="44"/>
      <c r="C324" s="42" t="s">
        <v>1784</v>
      </c>
      <c r="D324" s="104"/>
      <c r="E324" s="104"/>
      <c r="F324" s="104"/>
      <c r="G324" s="104"/>
      <c r="H324" s="104"/>
      <c r="I324" s="104"/>
      <c r="J324" s="104"/>
      <c r="K324" s="106"/>
      <c r="L324" s="106"/>
      <c r="M324" s="257"/>
      <c r="N324" s="105"/>
      <c r="O324" s="106"/>
      <c r="P324" s="105"/>
      <c r="Q324" s="106"/>
      <c r="R324" s="106"/>
      <c r="S324" s="105"/>
      <c r="T324" s="106"/>
      <c r="U324" s="106"/>
      <c r="V324" s="106"/>
    </row>
    <row r="325" spans="1:22" ht="48" x14ac:dyDescent="0.25">
      <c r="A325" s="428" t="s">
        <v>1786</v>
      </c>
      <c r="B325" s="436"/>
      <c r="C325" s="428" t="s">
        <v>1793</v>
      </c>
      <c r="D325" s="463"/>
      <c r="E325" s="463"/>
      <c r="F325" s="463"/>
      <c r="G325" s="463"/>
      <c r="H325" s="463"/>
      <c r="I325" s="463"/>
      <c r="J325" s="463"/>
      <c r="K325" s="460"/>
      <c r="L325" s="460"/>
      <c r="M325" s="461"/>
      <c r="N325" s="462"/>
      <c r="O325" s="460"/>
      <c r="P325" s="462"/>
      <c r="Q325" s="460"/>
      <c r="R325" s="460"/>
      <c r="S325" s="462"/>
      <c r="T325" s="460"/>
      <c r="U325" s="460"/>
      <c r="V325" s="460"/>
    </row>
    <row r="326" spans="1:22" ht="36" x14ac:dyDescent="0.25">
      <c r="A326" s="428" t="s">
        <v>1787</v>
      </c>
      <c r="B326" s="436"/>
      <c r="C326" s="428" t="s">
        <v>1794</v>
      </c>
      <c r="D326" s="463"/>
      <c r="E326" s="463"/>
      <c r="F326" s="463"/>
      <c r="G326" s="463"/>
      <c r="H326" s="463"/>
      <c r="I326" s="463"/>
      <c r="J326" s="463"/>
      <c r="K326" s="460"/>
      <c r="L326" s="460"/>
      <c r="M326" s="461"/>
      <c r="N326" s="462"/>
      <c r="O326" s="460"/>
      <c r="P326" s="462"/>
      <c r="Q326" s="460"/>
      <c r="R326" s="460"/>
      <c r="S326" s="462"/>
      <c r="T326" s="460"/>
      <c r="U326" s="460"/>
      <c r="V326" s="460"/>
    </row>
    <row r="327" spans="1:22" ht="60" x14ac:dyDescent="0.25">
      <c r="A327" s="23" t="s">
        <v>773</v>
      </c>
      <c r="B327" s="279" t="s">
        <v>651</v>
      </c>
      <c r="C327" s="23" t="s">
        <v>1509</v>
      </c>
      <c r="D327" s="10" t="s">
        <v>1587</v>
      </c>
      <c r="E327" s="10" t="s">
        <v>392</v>
      </c>
      <c r="F327" s="10" t="s">
        <v>1454</v>
      </c>
      <c r="G327" s="10" t="s">
        <v>1183</v>
      </c>
      <c r="H327" s="10" t="s">
        <v>1586</v>
      </c>
      <c r="I327" s="10"/>
      <c r="J327" s="10"/>
      <c r="K327" s="23"/>
      <c r="L327" s="23" t="s">
        <v>1491</v>
      </c>
      <c r="M327" s="259">
        <v>1</v>
      </c>
      <c r="N327" s="24"/>
      <c r="O327" s="23" t="s">
        <v>113</v>
      </c>
      <c r="P327" s="24">
        <v>553</v>
      </c>
      <c r="Q327" s="25"/>
      <c r="R327" s="23" t="s">
        <v>114</v>
      </c>
      <c r="S327" s="24">
        <v>1</v>
      </c>
      <c r="T327" s="25"/>
      <c r="U327" s="25"/>
      <c r="V327" s="25"/>
    </row>
    <row r="328" spans="1:22" ht="60" x14ac:dyDescent="0.25">
      <c r="A328" s="23" t="s">
        <v>922</v>
      </c>
      <c r="B328" s="279" t="s">
        <v>652</v>
      </c>
      <c r="C328" s="23" t="s">
        <v>1510</v>
      </c>
      <c r="D328" s="10" t="s">
        <v>1587</v>
      </c>
      <c r="E328" s="10" t="s">
        <v>392</v>
      </c>
      <c r="F328" s="10" t="s">
        <v>1454</v>
      </c>
      <c r="G328" s="10" t="s">
        <v>1183</v>
      </c>
      <c r="H328" s="10" t="s">
        <v>1586</v>
      </c>
      <c r="I328" s="10"/>
      <c r="J328" s="10"/>
      <c r="K328" s="23"/>
      <c r="L328" s="23" t="s">
        <v>1491</v>
      </c>
      <c r="M328" s="259">
        <v>1</v>
      </c>
      <c r="N328" s="24"/>
      <c r="O328" s="23" t="s">
        <v>113</v>
      </c>
      <c r="P328" s="24">
        <v>584</v>
      </c>
      <c r="Q328" s="25"/>
      <c r="R328" s="23" t="s">
        <v>114</v>
      </c>
      <c r="S328" s="24">
        <v>1</v>
      </c>
      <c r="T328" s="25"/>
      <c r="U328" s="25"/>
      <c r="V328" s="25"/>
    </row>
    <row r="329" spans="1:22" ht="60" x14ac:dyDescent="0.25">
      <c r="A329" s="23" t="s">
        <v>923</v>
      </c>
      <c r="B329" s="279" t="s">
        <v>653</v>
      </c>
      <c r="C329" s="36" t="s">
        <v>1353</v>
      </c>
      <c r="D329" s="13" t="s">
        <v>1443</v>
      </c>
      <c r="E329" s="13" t="s">
        <v>392</v>
      </c>
      <c r="F329" s="13" t="s">
        <v>1455</v>
      </c>
      <c r="G329" s="13" t="s">
        <v>1183</v>
      </c>
      <c r="H329" s="17" t="s">
        <v>1586</v>
      </c>
      <c r="I329" s="13"/>
      <c r="J329" s="13"/>
      <c r="K329" s="270"/>
      <c r="L329" s="23" t="s">
        <v>1491</v>
      </c>
      <c r="M329" s="259">
        <v>1</v>
      </c>
      <c r="N329" s="24"/>
      <c r="O329" s="23" t="s">
        <v>113</v>
      </c>
      <c r="P329" s="24">
        <v>177</v>
      </c>
      <c r="Q329" s="25"/>
      <c r="R329" s="23" t="s">
        <v>114</v>
      </c>
      <c r="S329" s="24">
        <v>1</v>
      </c>
      <c r="T329" s="25"/>
      <c r="U329" s="25"/>
      <c r="V329" s="25"/>
    </row>
    <row r="330" spans="1:22" ht="60" x14ac:dyDescent="0.25">
      <c r="A330" s="23" t="s">
        <v>924</v>
      </c>
      <c r="B330" s="279" t="s">
        <v>654</v>
      </c>
      <c r="C330" s="36" t="s">
        <v>1222</v>
      </c>
      <c r="D330" s="13" t="s">
        <v>1443</v>
      </c>
      <c r="E330" s="15" t="s">
        <v>392</v>
      </c>
      <c r="F330" s="15" t="s">
        <v>1455</v>
      </c>
      <c r="G330" s="13" t="s">
        <v>1183</v>
      </c>
      <c r="H330" s="37" t="s">
        <v>1586</v>
      </c>
      <c r="I330" s="13"/>
      <c r="J330" s="13" t="s">
        <v>797</v>
      </c>
      <c r="K330" s="23" t="s">
        <v>1673</v>
      </c>
      <c r="L330" s="23" t="s">
        <v>1022</v>
      </c>
      <c r="M330" s="259">
        <v>1</v>
      </c>
      <c r="N330" s="24"/>
      <c r="O330" s="25"/>
      <c r="P330" s="24"/>
      <c r="Q330" s="25"/>
      <c r="R330" s="25"/>
      <c r="S330" s="24"/>
      <c r="T330" s="25"/>
      <c r="U330" s="25"/>
      <c r="V330" s="25"/>
    </row>
    <row r="331" spans="1:22" ht="48" x14ac:dyDescent="0.25">
      <c r="A331" s="23" t="s">
        <v>925</v>
      </c>
      <c r="B331" s="279" t="s">
        <v>655</v>
      </c>
      <c r="C331" s="36" t="s">
        <v>1354</v>
      </c>
      <c r="D331" s="13" t="s">
        <v>1443</v>
      </c>
      <c r="E331" s="13" t="s">
        <v>392</v>
      </c>
      <c r="F331" s="13" t="s">
        <v>1455</v>
      </c>
      <c r="G331" s="13" t="s">
        <v>1183</v>
      </c>
      <c r="H331" s="17" t="s">
        <v>1586</v>
      </c>
      <c r="I331" s="13"/>
      <c r="J331" s="13"/>
      <c r="K331" s="118"/>
      <c r="L331" s="23" t="s">
        <v>113</v>
      </c>
      <c r="M331" s="24">
        <v>240</v>
      </c>
      <c r="N331" s="24"/>
      <c r="O331" s="23" t="s">
        <v>114</v>
      </c>
      <c r="P331" s="24">
        <v>1</v>
      </c>
      <c r="Q331" s="25"/>
      <c r="R331" s="114"/>
      <c r="S331" s="115"/>
      <c r="T331" s="25"/>
      <c r="U331" s="25"/>
      <c r="V331" s="25"/>
    </row>
    <row r="332" spans="1:22" ht="36" x14ac:dyDescent="0.25">
      <c r="A332" s="23" t="s">
        <v>926</v>
      </c>
      <c r="B332" s="279" t="s">
        <v>656</v>
      </c>
      <c r="C332" s="19" t="s">
        <v>846</v>
      </c>
      <c r="D332" s="13" t="s">
        <v>1443</v>
      </c>
      <c r="E332" s="13" t="s">
        <v>392</v>
      </c>
      <c r="F332" s="13" t="s">
        <v>1455</v>
      </c>
      <c r="G332" s="13" t="s">
        <v>1183</v>
      </c>
      <c r="H332" s="17" t="s">
        <v>1586</v>
      </c>
      <c r="I332" s="13"/>
      <c r="J332" s="13" t="s">
        <v>797</v>
      </c>
      <c r="K332" s="23" t="s">
        <v>1673</v>
      </c>
      <c r="L332" s="23" t="s">
        <v>1022</v>
      </c>
      <c r="M332" s="259">
        <v>1</v>
      </c>
      <c r="N332" s="24"/>
      <c r="O332" s="25"/>
      <c r="P332" s="24"/>
      <c r="Q332" s="25"/>
      <c r="R332" s="25"/>
      <c r="S332" s="24"/>
      <c r="T332" s="25"/>
      <c r="U332" s="25"/>
      <c r="V332" s="25"/>
    </row>
    <row r="333" spans="1:22" ht="60" x14ac:dyDescent="0.25">
      <c r="A333" s="23" t="s">
        <v>927</v>
      </c>
      <c r="B333" s="279" t="s">
        <v>657</v>
      </c>
      <c r="C333" s="19" t="s">
        <v>847</v>
      </c>
      <c r="D333" s="13" t="s">
        <v>1443</v>
      </c>
      <c r="E333" s="13" t="s">
        <v>392</v>
      </c>
      <c r="F333" s="13" t="s">
        <v>1455</v>
      </c>
      <c r="G333" s="13" t="s">
        <v>1183</v>
      </c>
      <c r="H333" s="17" t="s">
        <v>1586</v>
      </c>
      <c r="I333" s="13"/>
      <c r="J333" s="13" t="s">
        <v>797</v>
      </c>
      <c r="K333" s="23" t="s">
        <v>1673</v>
      </c>
      <c r="L333" s="23" t="s">
        <v>1022</v>
      </c>
      <c r="M333" s="259">
        <v>1</v>
      </c>
      <c r="N333" s="24"/>
      <c r="O333" s="25"/>
      <c r="P333" s="24"/>
      <c r="Q333" s="25"/>
      <c r="R333" s="25"/>
      <c r="S333" s="24"/>
      <c r="T333" s="25"/>
      <c r="U333" s="25"/>
      <c r="V333" s="25"/>
    </row>
    <row r="334" spans="1:22" ht="36" x14ac:dyDescent="0.25">
      <c r="A334" s="23" t="s">
        <v>928</v>
      </c>
      <c r="B334" s="279" t="s">
        <v>658</v>
      </c>
      <c r="C334" s="19" t="s">
        <v>848</v>
      </c>
      <c r="D334" s="13" t="s">
        <v>1443</v>
      </c>
      <c r="E334" s="13" t="s">
        <v>392</v>
      </c>
      <c r="F334" s="13" t="s">
        <v>1455</v>
      </c>
      <c r="G334" s="13" t="s">
        <v>1183</v>
      </c>
      <c r="H334" s="17" t="s">
        <v>1586</v>
      </c>
      <c r="I334" s="13"/>
      <c r="J334" s="13" t="s">
        <v>797</v>
      </c>
      <c r="K334" s="23" t="s">
        <v>1673</v>
      </c>
      <c r="L334" s="23" t="s">
        <v>1022</v>
      </c>
      <c r="M334" s="259">
        <v>1</v>
      </c>
      <c r="N334" s="24"/>
      <c r="O334" s="25"/>
      <c r="P334" s="24"/>
      <c r="Q334" s="25"/>
      <c r="R334" s="25"/>
      <c r="S334" s="24"/>
      <c r="T334" s="25"/>
      <c r="U334" s="25"/>
      <c r="V334" s="25"/>
    </row>
    <row r="335" spans="1:22" ht="36" x14ac:dyDescent="0.25">
      <c r="A335" s="23" t="s">
        <v>929</v>
      </c>
      <c r="B335" s="279" t="s">
        <v>659</v>
      </c>
      <c r="C335" s="19" t="s">
        <v>849</v>
      </c>
      <c r="D335" s="13" t="s">
        <v>1443</v>
      </c>
      <c r="E335" s="13" t="s">
        <v>392</v>
      </c>
      <c r="F335" s="13" t="s">
        <v>1455</v>
      </c>
      <c r="G335" s="13" t="s">
        <v>1183</v>
      </c>
      <c r="H335" s="17" t="s">
        <v>1586</v>
      </c>
      <c r="I335" s="13"/>
      <c r="J335" s="13" t="s">
        <v>797</v>
      </c>
      <c r="K335" s="23" t="s">
        <v>1673</v>
      </c>
      <c r="L335" s="23" t="s">
        <v>1022</v>
      </c>
      <c r="M335" s="259">
        <v>1</v>
      </c>
      <c r="N335" s="24"/>
      <c r="O335" s="25"/>
      <c r="P335" s="24"/>
      <c r="Q335" s="25"/>
      <c r="R335" s="25"/>
      <c r="S335" s="24"/>
      <c r="T335" s="25"/>
      <c r="U335" s="25"/>
      <c r="V335" s="25"/>
    </row>
    <row r="336" spans="1:22" ht="48" x14ac:dyDescent="0.25">
      <c r="A336" s="23" t="s">
        <v>1204</v>
      </c>
      <c r="B336" s="279" t="s">
        <v>660</v>
      </c>
      <c r="C336" s="76" t="s">
        <v>1699</v>
      </c>
      <c r="D336" s="13" t="s">
        <v>1589</v>
      </c>
      <c r="E336" s="13" t="s">
        <v>1585</v>
      </c>
      <c r="F336" s="10" t="s">
        <v>1441</v>
      </c>
      <c r="G336" s="13" t="s">
        <v>1242</v>
      </c>
      <c r="H336" s="17" t="s">
        <v>1586</v>
      </c>
      <c r="I336" s="13"/>
      <c r="J336" s="13"/>
      <c r="K336" s="23" t="s">
        <v>1077</v>
      </c>
      <c r="L336" s="23" t="s">
        <v>122</v>
      </c>
      <c r="M336" s="259">
        <v>13198</v>
      </c>
      <c r="N336" s="24" t="s">
        <v>1078</v>
      </c>
      <c r="O336" s="23" t="s">
        <v>123</v>
      </c>
      <c r="P336" s="24">
        <v>0</v>
      </c>
      <c r="Q336" s="25"/>
      <c r="R336" s="25"/>
      <c r="S336" s="24"/>
      <c r="T336" s="25"/>
      <c r="U336" s="25"/>
      <c r="V336" s="25"/>
    </row>
    <row r="337" spans="1:22" ht="60" x14ac:dyDescent="0.25">
      <c r="A337" s="23" t="s">
        <v>1205</v>
      </c>
      <c r="B337" s="279" t="s">
        <v>661</v>
      </c>
      <c r="C337" s="19" t="s">
        <v>814</v>
      </c>
      <c r="D337" s="13" t="s">
        <v>1443</v>
      </c>
      <c r="E337" s="13" t="s">
        <v>392</v>
      </c>
      <c r="F337" s="13" t="s">
        <v>1455</v>
      </c>
      <c r="G337" s="13" t="s">
        <v>1183</v>
      </c>
      <c r="H337" s="13" t="s">
        <v>1586</v>
      </c>
      <c r="I337" s="13"/>
      <c r="J337" s="13"/>
      <c r="K337" s="118"/>
      <c r="L337" s="23" t="s">
        <v>1491</v>
      </c>
      <c r="M337" s="259">
        <v>2</v>
      </c>
      <c r="N337" s="24"/>
      <c r="O337" s="23" t="s">
        <v>113</v>
      </c>
      <c r="P337" s="24">
        <v>543</v>
      </c>
      <c r="Q337" s="25"/>
      <c r="R337" s="23" t="s">
        <v>114</v>
      </c>
      <c r="S337" s="24">
        <v>1</v>
      </c>
      <c r="T337" s="25"/>
      <c r="U337" s="25"/>
      <c r="V337" s="25"/>
    </row>
    <row r="338" spans="1:22" ht="48" x14ac:dyDescent="0.25">
      <c r="A338" s="23" t="s">
        <v>1246</v>
      </c>
      <c r="B338" s="279" t="s">
        <v>662</v>
      </c>
      <c r="C338" s="19" t="s">
        <v>42</v>
      </c>
      <c r="D338" s="13" t="s">
        <v>1443</v>
      </c>
      <c r="E338" s="13" t="s">
        <v>392</v>
      </c>
      <c r="F338" s="13" t="s">
        <v>1455</v>
      </c>
      <c r="G338" s="13" t="s">
        <v>1183</v>
      </c>
      <c r="H338" s="17" t="s">
        <v>1586</v>
      </c>
      <c r="I338" s="13"/>
      <c r="J338" s="13"/>
      <c r="K338" s="118"/>
      <c r="L338" s="23" t="s">
        <v>113</v>
      </c>
      <c r="M338" s="24">
        <v>488</v>
      </c>
      <c r="N338" s="24"/>
      <c r="O338" s="23" t="s">
        <v>114</v>
      </c>
      <c r="P338" s="24">
        <v>1</v>
      </c>
      <c r="Q338" s="25"/>
      <c r="R338" s="25"/>
      <c r="S338" s="24"/>
      <c r="T338" s="25"/>
      <c r="U338" s="25"/>
      <c r="V338" s="25"/>
    </row>
    <row r="339" spans="1:22" ht="60" x14ac:dyDescent="0.25">
      <c r="A339" s="23" t="s">
        <v>1352</v>
      </c>
      <c r="B339" s="279" t="s">
        <v>663</v>
      </c>
      <c r="C339" s="19" t="s">
        <v>1367</v>
      </c>
      <c r="D339" s="13" t="s">
        <v>1360</v>
      </c>
      <c r="E339" s="13" t="s">
        <v>392</v>
      </c>
      <c r="F339" s="13" t="s">
        <v>1455</v>
      </c>
      <c r="G339" s="13" t="s">
        <v>1183</v>
      </c>
      <c r="H339" s="17" t="s">
        <v>1586</v>
      </c>
      <c r="I339" s="13"/>
      <c r="J339" s="12" t="s">
        <v>797</v>
      </c>
      <c r="K339" s="118"/>
      <c r="L339" s="23" t="s">
        <v>1491</v>
      </c>
      <c r="M339" s="259">
        <v>1</v>
      </c>
      <c r="N339" s="24"/>
      <c r="O339" s="23" t="s">
        <v>113</v>
      </c>
      <c r="P339" s="24">
        <v>177</v>
      </c>
      <c r="Q339" s="25"/>
      <c r="R339" s="23" t="s">
        <v>114</v>
      </c>
      <c r="S339" s="24">
        <v>1</v>
      </c>
      <c r="T339" s="25"/>
      <c r="U339" s="25"/>
      <c r="V339" s="25"/>
    </row>
    <row r="340" spans="1:22" ht="60" x14ac:dyDescent="0.25">
      <c r="A340" s="23" t="s">
        <v>1363</v>
      </c>
      <c r="B340" s="279" t="s">
        <v>664</v>
      </c>
      <c r="C340" s="19" t="s">
        <v>1361</v>
      </c>
      <c r="D340" s="13" t="s">
        <v>1443</v>
      </c>
      <c r="E340" s="13" t="s">
        <v>392</v>
      </c>
      <c r="F340" s="13" t="s">
        <v>1455</v>
      </c>
      <c r="G340" s="13" t="s">
        <v>1183</v>
      </c>
      <c r="H340" s="17" t="s">
        <v>1586</v>
      </c>
      <c r="I340" s="13"/>
      <c r="J340" s="13"/>
      <c r="K340" s="118"/>
      <c r="L340" s="23" t="s">
        <v>1491</v>
      </c>
      <c r="M340" s="259">
        <v>1</v>
      </c>
      <c r="N340" s="24"/>
      <c r="O340" s="23" t="s">
        <v>113</v>
      </c>
      <c r="P340" s="24">
        <v>877</v>
      </c>
      <c r="Q340" s="25"/>
      <c r="R340" s="23" t="s">
        <v>114</v>
      </c>
      <c r="S340" s="24">
        <v>1</v>
      </c>
      <c r="T340" s="25"/>
      <c r="U340" s="25"/>
      <c r="V340" s="25"/>
    </row>
    <row r="341" spans="1:22" ht="60" x14ac:dyDescent="0.25">
      <c r="A341" s="23" t="s">
        <v>1364</v>
      </c>
      <c r="B341" s="279" t="s">
        <v>665</v>
      </c>
      <c r="C341" s="19" t="s">
        <v>1362</v>
      </c>
      <c r="D341" s="13" t="s">
        <v>1443</v>
      </c>
      <c r="E341" s="13" t="s">
        <v>392</v>
      </c>
      <c r="F341" s="13" t="s">
        <v>1455</v>
      </c>
      <c r="G341" s="13" t="s">
        <v>1183</v>
      </c>
      <c r="H341" s="17" t="s">
        <v>1586</v>
      </c>
      <c r="I341" s="13"/>
      <c r="J341" s="13"/>
      <c r="K341" s="118"/>
      <c r="L341" s="23" t="s">
        <v>1491</v>
      </c>
      <c r="M341" s="259">
        <v>1</v>
      </c>
      <c r="N341" s="24"/>
      <c r="O341" s="23" t="s">
        <v>113</v>
      </c>
      <c r="P341" s="24">
        <v>263</v>
      </c>
      <c r="Q341" s="25"/>
      <c r="R341" s="23" t="s">
        <v>114</v>
      </c>
      <c r="S341" s="24">
        <v>1</v>
      </c>
      <c r="T341" s="25"/>
      <c r="U341" s="25"/>
      <c r="V341" s="25"/>
    </row>
    <row r="342" spans="1:22" ht="60" x14ac:dyDescent="0.25">
      <c r="A342" s="23" t="s">
        <v>1365</v>
      </c>
      <c r="B342" s="279" t="s">
        <v>666</v>
      </c>
      <c r="C342" s="19" t="s">
        <v>1368</v>
      </c>
      <c r="D342" s="13" t="s">
        <v>1443</v>
      </c>
      <c r="E342" s="13" t="s">
        <v>392</v>
      </c>
      <c r="F342" s="13" t="s">
        <v>1455</v>
      </c>
      <c r="G342" s="13" t="s">
        <v>1183</v>
      </c>
      <c r="H342" s="13" t="s">
        <v>1586</v>
      </c>
      <c r="I342" s="13"/>
      <c r="J342" s="13"/>
      <c r="K342" s="118"/>
      <c r="L342" s="23" t="s">
        <v>1491</v>
      </c>
      <c r="M342" s="259">
        <v>1</v>
      </c>
      <c r="N342" s="24"/>
      <c r="O342" s="23" t="s">
        <v>113</v>
      </c>
      <c r="P342" s="24">
        <v>402</v>
      </c>
      <c r="Q342" s="25"/>
      <c r="R342" s="23" t="s">
        <v>114</v>
      </c>
      <c r="S342" s="24">
        <v>1</v>
      </c>
      <c r="T342" s="25"/>
      <c r="U342" s="25"/>
      <c r="V342" s="25"/>
    </row>
    <row r="343" spans="1:22" ht="48" x14ac:dyDescent="0.25">
      <c r="A343" s="23" t="s">
        <v>1366</v>
      </c>
      <c r="B343" s="279" t="s">
        <v>667</v>
      </c>
      <c r="C343" s="19" t="s">
        <v>1369</v>
      </c>
      <c r="D343" s="13" t="s">
        <v>1443</v>
      </c>
      <c r="E343" s="13" t="s">
        <v>392</v>
      </c>
      <c r="F343" s="13" t="s">
        <v>1455</v>
      </c>
      <c r="G343" s="13" t="s">
        <v>1183</v>
      </c>
      <c r="H343" s="13" t="s">
        <v>1586</v>
      </c>
      <c r="I343" s="13"/>
      <c r="J343" s="13"/>
      <c r="K343" s="118"/>
      <c r="L343" s="23" t="s">
        <v>113</v>
      </c>
      <c r="M343" s="24">
        <v>653</v>
      </c>
      <c r="N343" s="24"/>
      <c r="O343" s="23" t="s">
        <v>114</v>
      </c>
      <c r="P343" s="24">
        <v>1</v>
      </c>
      <c r="Q343" s="25"/>
      <c r="R343" s="25"/>
      <c r="S343" s="24"/>
      <c r="T343" s="25"/>
      <c r="U343" s="25"/>
      <c r="V343" s="25"/>
    </row>
    <row r="344" spans="1:22" ht="60" x14ac:dyDescent="0.25">
      <c r="A344" s="23" t="s">
        <v>1374</v>
      </c>
      <c r="B344" s="279" t="s">
        <v>668</v>
      </c>
      <c r="C344" s="23" t="s">
        <v>1370</v>
      </c>
      <c r="D344" s="13" t="s">
        <v>1443</v>
      </c>
      <c r="E344" s="13" t="s">
        <v>392</v>
      </c>
      <c r="F344" s="13" t="s">
        <v>1455</v>
      </c>
      <c r="G344" s="13" t="s">
        <v>1183</v>
      </c>
      <c r="H344" s="17" t="s">
        <v>1586</v>
      </c>
      <c r="I344" s="13"/>
      <c r="J344" s="13"/>
      <c r="K344" s="118"/>
      <c r="L344" s="23" t="s">
        <v>1491</v>
      </c>
      <c r="M344" s="259">
        <v>1</v>
      </c>
      <c r="N344" s="24"/>
      <c r="O344" s="23" t="s">
        <v>113</v>
      </c>
      <c r="P344" s="24">
        <v>335</v>
      </c>
      <c r="Q344" s="25"/>
      <c r="R344" s="23" t="s">
        <v>114</v>
      </c>
      <c r="S344" s="24">
        <v>1</v>
      </c>
      <c r="T344" s="25"/>
      <c r="U344" s="25"/>
      <c r="V344" s="25"/>
    </row>
    <row r="345" spans="1:22" ht="60" x14ac:dyDescent="0.25">
      <c r="A345" s="23" t="s">
        <v>1375</v>
      </c>
      <c r="B345" s="279" t="s">
        <v>669</v>
      </c>
      <c r="C345" s="23" t="s">
        <v>1371</v>
      </c>
      <c r="D345" s="13" t="s">
        <v>1443</v>
      </c>
      <c r="E345" s="13" t="s">
        <v>392</v>
      </c>
      <c r="F345" s="13" t="s">
        <v>1455</v>
      </c>
      <c r="G345" s="13" t="s">
        <v>1183</v>
      </c>
      <c r="H345" s="17" t="s">
        <v>1586</v>
      </c>
      <c r="I345" s="13"/>
      <c r="J345" s="13"/>
      <c r="K345" s="118"/>
      <c r="L345" s="23" t="s">
        <v>1491</v>
      </c>
      <c r="M345" s="259">
        <v>1</v>
      </c>
      <c r="N345" s="24"/>
      <c r="O345" s="23" t="s">
        <v>113</v>
      </c>
      <c r="P345" s="24">
        <v>410</v>
      </c>
      <c r="Q345" s="25"/>
      <c r="R345" s="23" t="s">
        <v>114</v>
      </c>
      <c r="S345" s="24">
        <v>1</v>
      </c>
      <c r="T345" s="25"/>
      <c r="U345" s="25"/>
      <c r="V345" s="25"/>
    </row>
    <row r="346" spans="1:22" ht="60" x14ac:dyDescent="0.25">
      <c r="A346" s="23" t="s">
        <v>1376</v>
      </c>
      <c r="B346" s="279" t="s">
        <v>670</v>
      </c>
      <c r="C346" s="23" t="s">
        <v>1372</v>
      </c>
      <c r="D346" s="13" t="s">
        <v>1443</v>
      </c>
      <c r="E346" s="13" t="s">
        <v>392</v>
      </c>
      <c r="F346" s="13" t="s">
        <v>1455</v>
      </c>
      <c r="G346" s="13" t="s">
        <v>1183</v>
      </c>
      <c r="H346" s="17" t="s">
        <v>1586</v>
      </c>
      <c r="I346" s="13"/>
      <c r="J346" s="13"/>
      <c r="K346" s="118"/>
      <c r="L346" s="23" t="s">
        <v>1491</v>
      </c>
      <c r="M346" s="259">
        <v>1</v>
      </c>
      <c r="N346" s="24"/>
      <c r="O346" s="23" t="s">
        <v>113</v>
      </c>
      <c r="P346" s="24">
        <v>392</v>
      </c>
      <c r="Q346" s="25"/>
      <c r="R346" s="23" t="s">
        <v>114</v>
      </c>
      <c r="S346" s="24">
        <v>1</v>
      </c>
      <c r="T346" s="25"/>
      <c r="U346" s="25"/>
      <c r="V346" s="25"/>
    </row>
    <row r="347" spans="1:22" ht="60" x14ac:dyDescent="0.25">
      <c r="A347" s="23" t="s">
        <v>1377</v>
      </c>
      <c r="B347" s="279" t="s">
        <v>671</v>
      </c>
      <c r="C347" s="23" t="s">
        <v>1373</v>
      </c>
      <c r="D347" s="13" t="s">
        <v>1443</v>
      </c>
      <c r="E347" s="13" t="s">
        <v>392</v>
      </c>
      <c r="F347" s="13" t="s">
        <v>1455</v>
      </c>
      <c r="G347" s="13" t="s">
        <v>1183</v>
      </c>
      <c r="H347" s="17" t="s">
        <v>1586</v>
      </c>
      <c r="I347" s="13"/>
      <c r="J347" s="12" t="s">
        <v>797</v>
      </c>
      <c r="K347" s="118"/>
      <c r="L347" s="23" t="s">
        <v>1491</v>
      </c>
      <c r="M347" s="259">
        <v>1</v>
      </c>
      <c r="N347" s="24"/>
      <c r="O347" s="23" t="s">
        <v>113</v>
      </c>
      <c r="P347" s="24">
        <v>406</v>
      </c>
      <c r="Q347" s="25"/>
      <c r="R347" s="23" t="s">
        <v>114</v>
      </c>
      <c r="S347" s="24">
        <v>1</v>
      </c>
      <c r="T347" s="25"/>
      <c r="U347" s="25"/>
      <c r="V347" s="25"/>
    </row>
    <row r="348" spans="1:22" ht="60" x14ac:dyDescent="0.25">
      <c r="A348" s="23" t="s">
        <v>1378</v>
      </c>
      <c r="B348" s="279" t="s">
        <v>672</v>
      </c>
      <c r="C348" s="74" t="s">
        <v>112</v>
      </c>
      <c r="D348" s="13" t="s">
        <v>1584</v>
      </c>
      <c r="E348" s="13" t="s">
        <v>392</v>
      </c>
      <c r="F348" s="13" t="s">
        <v>1436</v>
      </c>
      <c r="G348" s="13" t="s">
        <v>1183</v>
      </c>
      <c r="H348" s="17" t="s">
        <v>1586</v>
      </c>
      <c r="I348" s="13"/>
      <c r="J348" s="13"/>
      <c r="K348" s="23"/>
      <c r="L348" s="23" t="s">
        <v>1491</v>
      </c>
      <c r="M348" s="259">
        <v>1</v>
      </c>
      <c r="N348" s="24"/>
      <c r="O348" s="23" t="s">
        <v>113</v>
      </c>
      <c r="P348" s="24">
        <v>747</v>
      </c>
      <c r="Q348" s="25"/>
      <c r="R348" s="23" t="s">
        <v>114</v>
      </c>
      <c r="S348" s="24">
        <v>4</v>
      </c>
      <c r="T348" s="25"/>
      <c r="U348" s="25"/>
      <c r="V348" s="25"/>
    </row>
    <row r="349" spans="1:22" ht="60" x14ac:dyDescent="0.25">
      <c r="A349" s="23" t="s">
        <v>1379</v>
      </c>
      <c r="B349" s="279" t="s">
        <v>673</v>
      </c>
      <c r="C349" s="74" t="s">
        <v>115</v>
      </c>
      <c r="D349" s="13" t="s">
        <v>1584</v>
      </c>
      <c r="E349" s="13" t="s">
        <v>392</v>
      </c>
      <c r="F349" s="13" t="s">
        <v>1436</v>
      </c>
      <c r="G349" s="13" t="s">
        <v>1183</v>
      </c>
      <c r="H349" s="17" t="s">
        <v>1586</v>
      </c>
      <c r="I349" s="13"/>
      <c r="J349" s="13"/>
      <c r="K349" s="23"/>
      <c r="L349" s="23" t="s">
        <v>1491</v>
      </c>
      <c r="M349" s="259">
        <v>1</v>
      </c>
      <c r="N349" s="24"/>
      <c r="O349" s="23" t="s">
        <v>113</v>
      </c>
      <c r="P349" s="24">
        <v>637</v>
      </c>
      <c r="Q349" s="25"/>
      <c r="R349" s="23" t="s">
        <v>114</v>
      </c>
      <c r="S349" s="24">
        <v>4</v>
      </c>
      <c r="T349" s="25"/>
      <c r="U349" s="25"/>
      <c r="V349" s="25"/>
    </row>
    <row r="350" spans="1:22" ht="48" x14ac:dyDescent="0.25">
      <c r="A350" s="23" t="s">
        <v>1381</v>
      </c>
      <c r="B350" s="279" t="s">
        <v>674</v>
      </c>
      <c r="C350" s="74" t="s">
        <v>1485</v>
      </c>
      <c r="D350" s="13" t="s">
        <v>1584</v>
      </c>
      <c r="E350" s="13" t="s">
        <v>392</v>
      </c>
      <c r="F350" s="13" t="s">
        <v>1436</v>
      </c>
      <c r="G350" s="13" t="s">
        <v>1183</v>
      </c>
      <c r="H350" s="17" t="s">
        <v>1586</v>
      </c>
      <c r="I350" s="13"/>
      <c r="J350" s="13"/>
      <c r="K350" s="23"/>
      <c r="L350" s="23" t="s">
        <v>113</v>
      </c>
      <c r="M350" s="259">
        <v>48</v>
      </c>
      <c r="N350" s="24"/>
      <c r="O350" s="23" t="s">
        <v>114</v>
      </c>
      <c r="P350" s="24">
        <v>4</v>
      </c>
      <c r="Q350" s="25"/>
      <c r="R350" s="25"/>
      <c r="S350" s="24"/>
      <c r="T350" s="25"/>
      <c r="U350" s="25"/>
      <c r="V350" s="25"/>
    </row>
    <row r="351" spans="1:22" ht="48" x14ac:dyDescent="0.25">
      <c r="A351" s="23" t="s">
        <v>1382</v>
      </c>
      <c r="B351" s="279" t="s">
        <v>675</v>
      </c>
      <c r="C351" s="74" t="s">
        <v>1490</v>
      </c>
      <c r="D351" s="13" t="s">
        <v>1584</v>
      </c>
      <c r="E351" s="13" t="s">
        <v>392</v>
      </c>
      <c r="F351" s="13" t="s">
        <v>1436</v>
      </c>
      <c r="G351" s="13" t="s">
        <v>1183</v>
      </c>
      <c r="H351" s="17" t="s">
        <v>1586</v>
      </c>
      <c r="I351" s="13"/>
      <c r="J351" s="13"/>
      <c r="K351" s="25"/>
      <c r="L351" s="23" t="s">
        <v>113</v>
      </c>
      <c r="M351" s="259">
        <v>747</v>
      </c>
      <c r="N351" s="24"/>
      <c r="O351" s="23" t="s">
        <v>114</v>
      </c>
      <c r="P351" s="24">
        <v>4</v>
      </c>
      <c r="Q351" s="25"/>
      <c r="R351" s="25"/>
      <c r="S351" s="24"/>
      <c r="T351" s="25"/>
      <c r="U351" s="25"/>
      <c r="V351" s="25"/>
    </row>
    <row r="352" spans="1:22" ht="60" x14ac:dyDescent="0.25">
      <c r="A352" s="23" t="s">
        <v>1383</v>
      </c>
      <c r="B352" s="279" t="s">
        <v>676</v>
      </c>
      <c r="C352" s="74" t="s">
        <v>43</v>
      </c>
      <c r="D352" s="13" t="s">
        <v>1443</v>
      </c>
      <c r="E352" s="13" t="s">
        <v>392</v>
      </c>
      <c r="F352" s="13" t="s">
        <v>1455</v>
      </c>
      <c r="G352" s="13" t="s">
        <v>1183</v>
      </c>
      <c r="H352" s="17" t="s">
        <v>1586</v>
      </c>
      <c r="I352" s="13"/>
      <c r="J352" s="12" t="s">
        <v>797</v>
      </c>
      <c r="K352" s="118"/>
      <c r="L352" s="23" t="s">
        <v>1491</v>
      </c>
      <c r="M352" s="259">
        <v>1</v>
      </c>
      <c r="N352" s="24"/>
      <c r="O352" s="23" t="s">
        <v>113</v>
      </c>
      <c r="P352" s="24">
        <v>635</v>
      </c>
      <c r="Q352" s="25"/>
      <c r="R352" s="23" t="s">
        <v>114</v>
      </c>
      <c r="S352" s="24">
        <v>1</v>
      </c>
      <c r="T352" s="25"/>
      <c r="U352" s="25"/>
      <c r="V352" s="25"/>
    </row>
    <row r="353" spans="1:22" ht="48" x14ac:dyDescent="0.25">
      <c r="A353" s="23" t="s">
        <v>163</v>
      </c>
      <c r="B353" s="279" t="s">
        <v>677</v>
      </c>
      <c r="C353" s="74" t="s">
        <v>1700</v>
      </c>
      <c r="D353" s="13" t="s">
        <v>1589</v>
      </c>
      <c r="E353" s="13" t="s">
        <v>1585</v>
      </c>
      <c r="F353" s="13" t="s">
        <v>1441</v>
      </c>
      <c r="G353" s="13" t="s">
        <v>1242</v>
      </c>
      <c r="H353" s="17" t="s">
        <v>1586</v>
      </c>
      <c r="I353" s="13"/>
      <c r="J353" s="13"/>
      <c r="K353" s="23" t="s">
        <v>1077</v>
      </c>
      <c r="L353" s="23" t="s">
        <v>122</v>
      </c>
      <c r="M353" s="259">
        <v>16740</v>
      </c>
      <c r="N353" s="24" t="s">
        <v>1078</v>
      </c>
      <c r="O353" s="23" t="s">
        <v>123</v>
      </c>
      <c r="P353" s="24">
        <v>0</v>
      </c>
      <c r="Q353" s="25"/>
      <c r="R353" s="25"/>
      <c r="S353" s="24"/>
      <c r="T353" s="25"/>
      <c r="U353" s="25"/>
      <c r="V353" s="25"/>
    </row>
    <row r="354" spans="1:22" ht="152.25" customHeight="1" x14ac:dyDescent="0.25">
      <c r="A354" s="23" t="s">
        <v>176</v>
      </c>
      <c r="B354" s="279" t="s">
        <v>678</v>
      </c>
      <c r="C354" s="74" t="s">
        <v>177</v>
      </c>
      <c r="D354" s="13" t="s">
        <v>1145</v>
      </c>
      <c r="E354" s="13" t="s">
        <v>392</v>
      </c>
      <c r="F354" s="13" t="s">
        <v>1147</v>
      </c>
      <c r="G354" s="13" t="s">
        <v>1183</v>
      </c>
      <c r="H354" s="17" t="s">
        <v>1586</v>
      </c>
      <c r="I354" s="13"/>
      <c r="J354" s="13"/>
      <c r="K354" s="23"/>
      <c r="L354" s="23" t="s">
        <v>1491</v>
      </c>
      <c r="M354" s="259">
        <v>1</v>
      </c>
      <c r="N354" s="24"/>
      <c r="O354" s="23" t="s">
        <v>113</v>
      </c>
      <c r="P354" s="24">
        <v>140</v>
      </c>
      <c r="Q354" s="25"/>
      <c r="R354" s="23" t="s">
        <v>114</v>
      </c>
      <c r="S354" s="24">
        <v>1</v>
      </c>
      <c r="T354" s="25"/>
      <c r="U354" s="25"/>
      <c r="V354" s="25"/>
    </row>
    <row r="355" spans="1:22" ht="152.25" customHeight="1" x14ac:dyDescent="0.25">
      <c r="A355" s="23" t="s">
        <v>178</v>
      </c>
      <c r="B355" s="279" t="s">
        <v>679</v>
      </c>
      <c r="C355" s="74" t="s">
        <v>179</v>
      </c>
      <c r="D355" s="13" t="s">
        <v>1145</v>
      </c>
      <c r="E355" s="13" t="s">
        <v>392</v>
      </c>
      <c r="F355" s="13" t="s">
        <v>1147</v>
      </c>
      <c r="G355" s="13" t="s">
        <v>1183</v>
      </c>
      <c r="H355" s="17" t="s">
        <v>1586</v>
      </c>
      <c r="I355" s="12"/>
      <c r="J355" s="12" t="s">
        <v>797</v>
      </c>
      <c r="K355" s="23"/>
      <c r="L355" s="23" t="s">
        <v>1491</v>
      </c>
      <c r="M355" s="259">
        <v>1</v>
      </c>
      <c r="N355" s="24"/>
      <c r="O355" s="23" t="s">
        <v>113</v>
      </c>
      <c r="P355" s="24">
        <v>65</v>
      </c>
      <c r="Q355" s="25"/>
      <c r="R355" s="23" t="s">
        <v>114</v>
      </c>
      <c r="S355" s="24">
        <v>1</v>
      </c>
      <c r="T355" s="25"/>
      <c r="U355" s="25"/>
      <c r="V355" s="25"/>
    </row>
    <row r="356" spans="1:22" ht="152.25" customHeight="1" x14ac:dyDescent="0.25">
      <c r="A356" s="23" t="s">
        <v>180</v>
      </c>
      <c r="B356" s="279" t="s">
        <v>680</v>
      </c>
      <c r="C356" s="74" t="s">
        <v>181</v>
      </c>
      <c r="D356" s="13" t="s">
        <v>1589</v>
      </c>
      <c r="E356" s="13" t="s">
        <v>392</v>
      </c>
      <c r="F356" s="13" t="s">
        <v>1441</v>
      </c>
      <c r="G356" s="13" t="s">
        <v>1183</v>
      </c>
      <c r="H356" s="17" t="s">
        <v>1586</v>
      </c>
      <c r="I356" s="12"/>
      <c r="J356" s="12"/>
      <c r="K356" s="23"/>
      <c r="L356" s="23" t="s">
        <v>1491</v>
      </c>
      <c r="M356" s="259">
        <v>2</v>
      </c>
      <c r="N356" s="24"/>
      <c r="O356" s="23" t="s">
        <v>113</v>
      </c>
      <c r="P356" s="24">
        <v>857</v>
      </c>
      <c r="Q356" s="25"/>
      <c r="R356" s="23" t="s">
        <v>114</v>
      </c>
      <c r="S356" s="24">
        <v>1</v>
      </c>
      <c r="T356" s="25"/>
      <c r="U356" s="25"/>
      <c r="V356" s="25"/>
    </row>
    <row r="357" spans="1:22" ht="152.25" customHeight="1" x14ac:dyDescent="0.25">
      <c r="A357" s="23" t="s">
        <v>182</v>
      </c>
      <c r="B357" s="279" t="s">
        <v>681</v>
      </c>
      <c r="C357" s="74" t="s">
        <v>183</v>
      </c>
      <c r="D357" s="13" t="s">
        <v>1589</v>
      </c>
      <c r="E357" s="13" t="s">
        <v>392</v>
      </c>
      <c r="F357" s="13" t="s">
        <v>1441</v>
      </c>
      <c r="G357" s="13" t="s">
        <v>1183</v>
      </c>
      <c r="H357" s="17" t="s">
        <v>1586</v>
      </c>
      <c r="I357" s="12"/>
      <c r="J357" s="12"/>
      <c r="K357" s="23"/>
      <c r="L357" s="23" t="s">
        <v>1491</v>
      </c>
      <c r="M357" s="259">
        <v>1</v>
      </c>
      <c r="N357" s="24"/>
      <c r="O357" s="23" t="s">
        <v>113</v>
      </c>
      <c r="P357" s="24">
        <v>747</v>
      </c>
      <c r="Q357" s="25"/>
      <c r="R357" s="23" t="s">
        <v>114</v>
      </c>
      <c r="S357" s="24">
        <v>1</v>
      </c>
      <c r="T357" s="25"/>
      <c r="U357" s="25"/>
      <c r="V357" s="25"/>
    </row>
    <row r="358" spans="1:22" ht="152.25" customHeight="1" x14ac:dyDescent="0.25">
      <c r="A358" s="23" t="s">
        <v>184</v>
      </c>
      <c r="B358" s="279" t="s">
        <v>682</v>
      </c>
      <c r="C358" s="74" t="s">
        <v>185</v>
      </c>
      <c r="D358" s="13" t="s">
        <v>1589</v>
      </c>
      <c r="E358" s="13" t="s">
        <v>392</v>
      </c>
      <c r="F358" s="13" t="s">
        <v>1441</v>
      </c>
      <c r="G358" s="13" t="s">
        <v>1183</v>
      </c>
      <c r="H358" s="17" t="s">
        <v>1586</v>
      </c>
      <c r="I358" s="12"/>
      <c r="J358" s="12"/>
      <c r="K358" s="23"/>
      <c r="L358" s="23" t="s">
        <v>1491</v>
      </c>
      <c r="M358" s="259">
        <v>7</v>
      </c>
      <c r="N358" s="24"/>
      <c r="O358" s="23" t="s">
        <v>113</v>
      </c>
      <c r="P358" s="24">
        <v>882</v>
      </c>
      <c r="Q358" s="25"/>
      <c r="R358" s="23" t="s">
        <v>114</v>
      </c>
      <c r="S358" s="24">
        <v>1</v>
      </c>
      <c r="T358" s="25"/>
      <c r="U358" s="25"/>
      <c r="V358" s="25"/>
    </row>
    <row r="359" spans="1:22" ht="152.25" customHeight="1" x14ac:dyDescent="0.25">
      <c r="A359" s="23" t="s">
        <v>186</v>
      </c>
      <c r="B359" s="279" t="s">
        <v>683</v>
      </c>
      <c r="C359" s="74" t="s">
        <v>187</v>
      </c>
      <c r="D359" s="13" t="s">
        <v>1589</v>
      </c>
      <c r="E359" s="13" t="s">
        <v>392</v>
      </c>
      <c r="F359" s="13" t="s">
        <v>1441</v>
      </c>
      <c r="G359" s="13" t="s">
        <v>1183</v>
      </c>
      <c r="H359" s="17" t="s">
        <v>1586</v>
      </c>
      <c r="I359" s="12"/>
      <c r="J359" s="12"/>
      <c r="K359" s="23"/>
      <c r="L359" s="23" t="s">
        <v>1491</v>
      </c>
      <c r="M359" s="259">
        <v>14</v>
      </c>
      <c r="N359" s="24"/>
      <c r="O359" s="23" t="s">
        <v>113</v>
      </c>
      <c r="P359" s="24">
        <v>859</v>
      </c>
      <c r="Q359" s="25"/>
      <c r="R359" s="23" t="s">
        <v>114</v>
      </c>
      <c r="S359" s="24">
        <v>1</v>
      </c>
      <c r="T359" s="25"/>
      <c r="U359" s="25"/>
      <c r="V359" s="25"/>
    </row>
    <row r="360" spans="1:22" ht="152.25" customHeight="1" x14ac:dyDescent="0.25">
      <c r="A360" s="23" t="s">
        <v>188</v>
      </c>
      <c r="B360" s="279" t="s">
        <v>684</v>
      </c>
      <c r="C360" s="74" t="s">
        <v>189</v>
      </c>
      <c r="D360" s="13" t="s">
        <v>1589</v>
      </c>
      <c r="E360" s="13" t="s">
        <v>392</v>
      </c>
      <c r="F360" s="13" t="s">
        <v>1441</v>
      </c>
      <c r="G360" s="13" t="s">
        <v>1183</v>
      </c>
      <c r="H360" s="17" t="s">
        <v>1586</v>
      </c>
      <c r="I360" s="12"/>
      <c r="J360" s="12"/>
      <c r="K360" s="23"/>
      <c r="L360" s="23" t="s">
        <v>1491</v>
      </c>
      <c r="M360" s="259">
        <v>5</v>
      </c>
      <c r="N360" s="24"/>
      <c r="O360" s="23" t="s">
        <v>113</v>
      </c>
      <c r="P360" s="24">
        <v>823</v>
      </c>
      <c r="Q360" s="25"/>
      <c r="R360" s="23" t="s">
        <v>114</v>
      </c>
      <c r="S360" s="24">
        <v>1</v>
      </c>
      <c r="T360" s="25"/>
      <c r="U360" s="25"/>
      <c r="V360" s="25"/>
    </row>
    <row r="361" spans="1:22" ht="152.25" customHeight="1" x14ac:dyDescent="0.25">
      <c r="A361" s="23" t="s">
        <v>190</v>
      </c>
      <c r="B361" s="279" t="s">
        <v>685</v>
      </c>
      <c r="C361" s="74" t="s">
        <v>191</v>
      </c>
      <c r="D361" s="13" t="s">
        <v>1589</v>
      </c>
      <c r="E361" s="13" t="s">
        <v>392</v>
      </c>
      <c r="F361" s="13" t="s">
        <v>1441</v>
      </c>
      <c r="G361" s="13" t="s">
        <v>1183</v>
      </c>
      <c r="H361" s="17" t="s">
        <v>1586</v>
      </c>
      <c r="I361" s="12"/>
      <c r="J361" s="12"/>
      <c r="K361" s="23"/>
      <c r="L361" s="23" t="s">
        <v>1491</v>
      </c>
      <c r="M361" s="259">
        <v>2</v>
      </c>
      <c r="N361" s="24"/>
      <c r="O361" s="23" t="s">
        <v>113</v>
      </c>
      <c r="P361" s="24">
        <v>644</v>
      </c>
      <c r="Q361" s="25"/>
      <c r="R361" s="23" t="s">
        <v>114</v>
      </c>
      <c r="S361" s="24">
        <v>1</v>
      </c>
      <c r="T361" s="25"/>
      <c r="U361" s="25"/>
      <c r="V361" s="25"/>
    </row>
    <row r="362" spans="1:22" ht="152.25" customHeight="1" x14ac:dyDescent="0.25">
      <c r="A362" s="23" t="s">
        <v>192</v>
      </c>
      <c r="B362" s="279" t="s">
        <v>686</v>
      </c>
      <c r="C362" s="74" t="s">
        <v>193</v>
      </c>
      <c r="D362" s="13" t="s">
        <v>1589</v>
      </c>
      <c r="E362" s="13" t="s">
        <v>392</v>
      </c>
      <c r="F362" s="13" t="s">
        <v>1441</v>
      </c>
      <c r="G362" s="13" t="s">
        <v>1183</v>
      </c>
      <c r="H362" s="17" t="s">
        <v>1586</v>
      </c>
      <c r="I362" s="12"/>
      <c r="J362" s="12"/>
      <c r="K362" s="23"/>
      <c r="L362" s="23" t="s">
        <v>1491</v>
      </c>
      <c r="M362" s="259">
        <v>1</v>
      </c>
      <c r="N362" s="24"/>
      <c r="O362" s="23" t="s">
        <v>113</v>
      </c>
      <c r="P362" s="24">
        <v>935</v>
      </c>
      <c r="Q362" s="25"/>
      <c r="R362" s="23" t="s">
        <v>114</v>
      </c>
      <c r="S362" s="24">
        <v>1</v>
      </c>
      <c r="T362" s="25"/>
      <c r="U362" s="25"/>
      <c r="V362" s="25"/>
    </row>
    <row r="363" spans="1:22" ht="152.25" customHeight="1" x14ac:dyDescent="0.25">
      <c r="A363" s="23" t="s">
        <v>194</v>
      </c>
      <c r="B363" s="279" t="s">
        <v>687</v>
      </c>
      <c r="C363" s="74" t="s">
        <v>195</v>
      </c>
      <c r="D363" s="13" t="s">
        <v>1589</v>
      </c>
      <c r="E363" s="13" t="s">
        <v>392</v>
      </c>
      <c r="F363" s="13" t="s">
        <v>1441</v>
      </c>
      <c r="G363" s="13" t="s">
        <v>1183</v>
      </c>
      <c r="H363" s="17" t="s">
        <v>1586</v>
      </c>
      <c r="I363" s="12"/>
      <c r="J363" s="12"/>
      <c r="K363" s="23"/>
      <c r="L363" s="23" t="s">
        <v>1491</v>
      </c>
      <c r="M363" s="259">
        <v>3</v>
      </c>
      <c r="N363" s="24"/>
      <c r="O363" s="23" t="s">
        <v>113</v>
      </c>
      <c r="P363" s="24">
        <v>995</v>
      </c>
      <c r="Q363" s="25"/>
      <c r="R363" s="23" t="s">
        <v>114</v>
      </c>
      <c r="S363" s="24">
        <v>1</v>
      </c>
      <c r="T363" s="25"/>
      <c r="U363" s="25"/>
      <c r="V363" s="25"/>
    </row>
    <row r="364" spans="1:22" ht="152.25" customHeight="1" x14ac:dyDescent="0.25">
      <c r="A364" s="23" t="s">
        <v>196</v>
      </c>
      <c r="B364" s="279" t="s">
        <v>688</v>
      </c>
      <c r="C364" s="74" t="s">
        <v>197</v>
      </c>
      <c r="D364" s="13" t="s">
        <v>1589</v>
      </c>
      <c r="E364" s="13" t="s">
        <v>392</v>
      </c>
      <c r="F364" s="13" t="s">
        <v>1441</v>
      </c>
      <c r="G364" s="13" t="s">
        <v>1183</v>
      </c>
      <c r="H364" s="17" t="s">
        <v>1586</v>
      </c>
      <c r="I364" s="12"/>
      <c r="J364" s="12"/>
      <c r="K364" s="23"/>
      <c r="L364" s="23" t="s">
        <v>1491</v>
      </c>
      <c r="M364" s="259">
        <v>2</v>
      </c>
      <c r="N364" s="24"/>
      <c r="O364" s="23" t="s">
        <v>113</v>
      </c>
      <c r="P364" s="24">
        <v>795</v>
      </c>
      <c r="Q364" s="25"/>
      <c r="R364" s="23" t="s">
        <v>114</v>
      </c>
      <c r="S364" s="24">
        <v>1</v>
      </c>
      <c r="T364" s="25"/>
      <c r="U364" s="25"/>
      <c r="V364" s="25"/>
    </row>
    <row r="365" spans="1:22" ht="152.25" customHeight="1" x14ac:dyDescent="0.25">
      <c r="A365" s="23" t="s">
        <v>198</v>
      </c>
      <c r="B365" s="279" t="s">
        <v>689</v>
      </c>
      <c r="C365" s="74" t="s">
        <v>199</v>
      </c>
      <c r="D365" s="13" t="s">
        <v>1589</v>
      </c>
      <c r="E365" s="13" t="s">
        <v>392</v>
      </c>
      <c r="F365" s="13" t="s">
        <v>1441</v>
      </c>
      <c r="G365" s="13" t="s">
        <v>1183</v>
      </c>
      <c r="H365" s="17" t="s">
        <v>1586</v>
      </c>
      <c r="I365" s="12"/>
      <c r="J365" s="12"/>
      <c r="K365" s="23"/>
      <c r="L365" s="23" t="s">
        <v>1491</v>
      </c>
      <c r="M365" s="259">
        <v>3</v>
      </c>
      <c r="N365" s="24"/>
      <c r="O365" s="23" t="s">
        <v>113</v>
      </c>
      <c r="P365" s="24">
        <v>728</v>
      </c>
      <c r="Q365" s="25"/>
      <c r="R365" s="23" t="s">
        <v>114</v>
      </c>
      <c r="S365" s="24">
        <v>1</v>
      </c>
      <c r="T365" s="25"/>
      <c r="U365" s="25"/>
      <c r="V365" s="25"/>
    </row>
    <row r="366" spans="1:22" ht="152.25" customHeight="1" x14ac:dyDescent="0.25">
      <c r="A366" s="23" t="s">
        <v>200</v>
      </c>
      <c r="B366" s="279" t="s">
        <v>690</v>
      </c>
      <c r="C366" s="74" t="s">
        <v>201</v>
      </c>
      <c r="D366" s="13" t="s">
        <v>1589</v>
      </c>
      <c r="E366" s="13" t="s">
        <v>392</v>
      </c>
      <c r="F366" s="13" t="s">
        <v>1441</v>
      </c>
      <c r="G366" s="13" t="s">
        <v>1183</v>
      </c>
      <c r="H366" s="17" t="s">
        <v>1586</v>
      </c>
      <c r="I366" s="12"/>
      <c r="J366" s="12"/>
      <c r="K366" s="23"/>
      <c r="L366" s="23" t="s">
        <v>1491</v>
      </c>
      <c r="M366" s="259">
        <v>5</v>
      </c>
      <c r="N366" s="24"/>
      <c r="O366" s="23" t="s">
        <v>113</v>
      </c>
      <c r="P366" s="24">
        <v>926</v>
      </c>
      <c r="Q366" s="25"/>
      <c r="R366" s="23" t="s">
        <v>114</v>
      </c>
      <c r="S366" s="24">
        <v>1</v>
      </c>
      <c r="T366" s="25"/>
      <c r="U366" s="25"/>
      <c r="V366" s="25"/>
    </row>
    <row r="367" spans="1:22" ht="152.25" customHeight="1" x14ac:dyDescent="0.25">
      <c r="A367" s="23" t="s">
        <v>202</v>
      </c>
      <c r="B367" s="279" t="s">
        <v>691</v>
      </c>
      <c r="C367" s="74" t="s">
        <v>203</v>
      </c>
      <c r="D367" s="13" t="s">
        <v>1589</v>
      </c>
      <c r="E367" s="13" t="s">
        <v>392</v>
      </c>
      <c r="F367" s="13" t="s">
        <v>1441</v>
      </c>
      <c r="G367" s="13" t="s">
        <v>1183</v>
      </c>
      <c r="H367" s="17" t="s">
        <v>1586</v>
      </c>
      <c r="I367" s="12"/>
      <c r="J367" s="12"/>
      <c r="K367" s="23"/>
      <c r="L367" s="23" t="s">
        <v>1491</v>
      </c>
      <c r="M367" s="259">
        <v>1</v>
      </c>
      <c r="N367" s="24"/>
      <c r="O367" s="23" t="s">
        <v>113</v>
      </c>
      <c r="P367" s="24">
        <v>841</v>
      </c>
      <c r="Q367" s="25"/>
      <c r="R367" s="23" t="s">
        <v>114</v>
      </c>
      <c r="S367" s="24">
        <v>1</v>
      </c>
      <c r="T367" s="25"/>
      <c r="U367" s="25"/>
      <c r="V367" s="25"/>
    </row>
    <row r="368" spans="1:22" ht="152.25" customHeight="1" x14ac:dyDescent="0.25">
      <c r="A368" s="23" t="s">
        <v>205</v>
      </c>
      <c r="B368" s="279" t="s">
        <v>692</v>
      </c>
      <c r="C368" s="74" t="s">
        <v>204</v>
      </c>
      <c r="D368" s="13" t="s">
        <v>1589</v>
      </c>
      <c r="E368" s="13" t="s">
        <v>392</v>
      </c>
      <c r="F368" s="13" t="s">
        <v>1441</v>
      </c>
      <c r="G368" s="13" t="s">
        <v>1183</v>
      </c>
      <c r="H368" s="17" t="s">
        <v>1586</v>
      </c>
      <c r="I368" s="12"/>
      <c r="J368" s="12"/>
      <c r="K368" s="23"/>
      <c r="L368" s="23" t="s">
        <v>1491</v>
      </c>
      <c r="M368" s="259">
        <v>1</v>
      </c>
      <c r="N368" s="24"/>
      <c r="O368" s="23" t="s">
        <v>113</v>
      </c>
      <c r="P368" s="24">
        <v>752</v>
      </c>
      <c r="Q368" s="25"/>
      <c r="R368" s="23" t="s">
        <v>114</v>
      </c>
      <c r="S368" s="24">
        <v>1</v>
      </c>
      <c r="T368" s="25"/>
      <c r="U368" s="25"/>
      <c r="V368" s="25"/>
    </row>
    <row r="369" spans="1:22" ht="152.25" customHeight="1" x14ac:dyDescent="0.25">
      <c r="A369" s="23" t="s">
        <v>206</v>
      </c>
      <c r="B369" s="279" t="s">
        <v>693</v>
      </c>
      <c r="C369" s="74" t="s">
        <v>207</v>
      </c>
      <c r="D369" s="13" t="s">
        <v>1589</v>
      </c>
      <c r="E369" s="13" t="s">
        <v>392</v>
      </c>
      <c r="F369" s="13" t="s">
        <v>1441</v>
      </c>
      <c r="G369" s="13" t="s">
        <v>1183</v>
      </c>
      <c r="H369" s="17" t="s">
        <v>1586</v>
      </c>
      <c r="I369" s="12"/>
      <c r="J369" s="12"/>
      <c r="K369" s="23"/>
      <c r="L369" s="23" t="s">
        <v>1491</v>
      </c>
      <c r="M369" s="259">
        <v>1</v>
      </c>
      <c r="N369" s="24"/>
      <c r="O369" s="23" t="s">
        <v>113</v>
      </c>
      <c r="P369" s="24">
        <v>279</v>
      </c>
      <c r="Q369" s="25"/>
      <c r="R369" s="23" t="s">
        <v>114</v>
      </c>
      <c r="S369" s="24">
        <v>1</v>
      </c>
      <c r="T369" s="25"/>
      <c r="U369" s="25"/>
      <c r="V369" s="25"/>
    </row>
    <row r="370" spans="1:22" ht="152.25" customHeight="1" x14ac:dyDescent="0.25">
      <c r="A370" s="23" t="s">
        <v>208</v>
      </c>
      <c r="B370" s="279" t="s">
        <v>694</v>
      </c>
      <c r="C370" s="74" t="s">
        <v>209</v>
      </c>
      <c r="D370" s="13" t="s">
        <v>1589</v>
      </c>
      <c r="E370" s="13" t="s">
        <v>392</v>
      </c>
      <c r="F370" s="13" t="s">
        <v>1441</v>
      </c>
      <c r="G370" s="13" t="s">
        <v>1183</v>
      </c>
      <c r="H370" s="17" t="s">
        <v>1586</v>
      </c>
      <c r="I370" s="12"/>
      <c r="J370" s="12"/>
      <c r="K370" s="23"/>
      <c r="L370" s="23" t="s">
        <v>1491</v>
      </c>
      <c r="M370" s="259">
        <v>1</v>
      </c>
      <c r="N370" s="24"/>
      <c r="O370" s="23" t="s">
        <v>113</v>
      </c>
      <c r="P370" s="24">
        <v>239</v>
      </c>
      <c r="Q370" s="25"/>
      <c r="R370" s="23" t="s">
        <v>114</v>
      </c>
      <c r="S370" s="24">
        <v>1</v>
      </c>
      <c r="T370" s="25"/>
      <c r="U370" s="25"/>
      <c r="V370" s="25"/>
    </row>
    <row r="371" spans="1:22" ht="152.25" customHeight="1" x14ac:dyDescent="0.25">
      <c r="A371" s="23" t="s">
        <v>210</v>
      </c>
      <c r="B371" s="279" t="s">
        <v>695</v>
      </c>
      <c r="C371" s="74" t="s">
        <v>211</v>
      </c>
      <c r="D371" s="13" t="s">
        <v>212</v>
      </c>
      <c r="E371" s="13" t="s">
        <v>392</v>
      </c>
      <c r="F371" s="13" t="s">
        <v>1456</v>
      </c>
      <c r="G371" s="13" t="s">
        <v>1183</v>
      </c>
      <c r="H371" s="17" t="s">
        <v>1586</v>
      </c>
      <c r="I371" s="12"/>
      <c r="J371" s="12"/>
      <c r="K371" s="23"/>
      <c r="L371" s="23" t="s">
        <v>1491</v>
      </c>
      <c r="M371" s="259">
        <v>1</v>
      </c>
      <c r="N371" s="24"/>
      <c r="O371" s="23" t="s">
        <v>113</v>
      </c>
      <c r="P371" s="24">
        <v>157</v>
      </c>
      <c r="Q371" s="25"/>
      <c r="R371" s="23" t="s">
        <v>114</v>
      </c>
      <c r="S371" s="24">
        <v>1</v>
      </c>
      <c r="T371" s="25"/>
      <c r="U371" s="25"/>
      <c r="V371" s="25"/>
    </row>
    <row r="372" spans="1:22" ht="152.25" customHeight="1" x14ac:dyDescent="0.25">
      <c r="A372" s="23" t="s">
        <v>213</v>
      </c>
      <c r="B372" s="279" t="s">
        <v>696</v>
      </c>
      <c r="C372" s="74" t="s">
        <v>1493</v>
      </c>
      <c r="D372" s="13" t="s">
        <v>212</v>
      </c>
      <c r="E372" s="13" t="s">
        <v>392</v>
      </c>
      <c r="F372" s="13" t="s">
        <v>1456</v>
      </c>
      <c r="G372" s="13" t="s">
        <v>1183</v>
      </c>
      <c r="H372" s="17" t="s">
        <v>1586</v>
      </c>
      <c r="I372" s="12"/>
      <c r="J372" s="12"/>
      <c r="K372" s="23"/>
      <c r="L372" s="23" t="s">
        <v>1491</v>
      </c>
      <c r="M372" s="259">
        <v>1</v>
      </c>
      <c r="N372" s="24"/>
      <c r="O372" s="23" t="s">
        <v>113</v>
      </c>
      <c r="P372" s="24">
        <v>156</v>
      </c>
      <c r="Q372" s="25"/>
      <c r="R372" s="23" t="s">
        <v>114</v>
      </c>
      <c r="S372" s="24">
        <v>1</v>
      </c>
      <c r="T372" s="25"/>
      <c r="U372" s="25"/>
      <c r="V372" s="25"/>
    </row>
    <row r="373" spans="1:22" ht="152.25" customHeight="1" x14ac:dyDescent="0.25">
      <c r="A373" s="23" t="s">
        <v>1494</v>
      </c>
      <c r="B373" s="279" t="s">
        <v>697</v>
      </c>
      <c r="C373" s="74" t="s">
        <v>1495</v>
      </c>
      <c r="D373" s="13" t="s">
        <v>212</v>
      </c>
      <c r="E373" s="13" t="s">
        <v>392</v>
      </c>
      <c r="F373" s="13" t="s">
        <v>1456</v>
      </c>
      <c r="G373" s="13" t="s">
        <v>1183</v>
      </c>
      <c r="H373" s="17" t="s">
        <v>1586</v>
      </c>
      <c r="I373" s="12"/>
      <c r="J373" s="12"/>
      <c r="K373" s="23"/>
      <c r="L373" s="23" t="s">
        <v>1491</v>
      </c>
      <c r="M373" s="259">
        <v>1</v>
      </c>
      <c r="N373" s="24"/>
      <c r="O373" s="23" t="s">
        <v>113</v>
      </c>
      <c r="P373" s="24">
        <v>82</v>
      </c>
      <c r="Q373" s="25"/>
      <c r="R373" s="23" t="s">
        <v>114</v>
      </c>
      <c r="S373" s="24">
        <v>1</v>
      </c>
      <c r="T373" s="25"/>
      <c r="U373" s="25"/>
      <c r="V373" s="25"/>
    </row>
    <row r="374" spans="1:22" ht="152.25" customHeight="1" x14ac:dyDescent="0.25">
      <c r="A374" s="23" t="s">
        <v>1496</v>
      </c>
      <c r="B374" s="279" t="s">
        <v>698</v>
      </c>
      <c r="C374" s="74" t="s">
        <v>1497</v>
      </c>
      <c r="D374" s="13" t="s">
        <v>212</v>
      </c>
      <c r="E374" s="13" t="s">
        <v>392</v>
      </c>
      <c r="F374" s="13" t="s">
        <v>1456</v>
      </c>
      <c r="G374" s="13" t="s">
        <v>1183</v>
      </c>
      <c r="H374" s="17" t="s">
        <v>1586</v>
      </c>
      <c r="I374" s="12"/>
      <c r="J374" s="12"/>
      <c r="K374" s="23"/>
      <c r="L374" s="23" t="s">
        <v>1491</v>
      </c>
      <c r="M374" s="259">
        <v>1</v>
      </c>
      <c r="N374" s="24"/>
      <c r="O374" s="23" t="s">
        <v>113</v>
      </c>
      <c r="P374" s="24">
        <v>166</v>
      </c>
      <c r="Q374" s="25"/>
      <c r="R374" s="23" t="s">
        <v>114</v>
      </c>
      <c r="S374" s="24">
        <v>1</v>
      </c>
      <c r="T374" s="25"/>
      <c r="U374" s="25"/>
      <c r="V374" s="25"/>
    </row>
    <row r="375" spans="1:22" ht="152.25" customHeight="1" x14ac:dyDescent="0.25">
      <c r="A375" s="23" t="s">
        <v>1498</v>
      </c>
      <c r="B375" s="279" t="s">
        <v>699</v>
      </c>
      <c r="C375" s="74" t="s">
        <v>1499</v>
      </c>
      <c r="D375" s="13" t="s">
        <v>212</v>
      </c>
      <c r="E375" s="13" t="s">
        <v>392</v>
      </c>
      <c r="F375" s="13" t="s">
        <v>1456</v>
      </c>
      <c r="G375" s="13" t="s">
        <v>1183</v>
      </c>
      <c r="H375" s="17" t="s">
        <v>1586</v>
      </c>
      <c r="I375" s="12"/>
      <c r="J375" s="12"/>
      <c r="K375" s="23"/>
      <c r="L375" s="23" t="s">
        <v>1491</v>
      </c>
      <c r="M375" s="259">
        <v>1</v>
      </c>
      <c r="N375" s="24"/>
      <c r="O375" s="23" t="s">
        <v>113</v>
      </c>
      <c r="P375" s="24">
        <v>156</v>
      </c>
      <c r="Q375" s="25"/>
      <c r="R375" s="23" t="s">
        <v>114</v>
      </c>
      <c r="S375" s="24">
        <v>1</v>
      </c>
      <c r="T375" s="25"/>
      <c r="U375" s="25"/>
      <c r="V375" s="25"/>
    </row>
    <row r="376" spans="1:22" ht="152.25" customHeight="1" x14ac:dyDescent="0.25">
      <c r="A376" s="23" t="s">
        <v>1500</v>
      </c>
      <c r="B376" s="279" t="s">
        <v>700</v>
      </c>
      <c r="C376" s="74" t="s">
        <v>1501</v>
      </c>
      <c r="D376" s="13" t="s">
        <v>212</v>
      </c>
      <c r="E376" s="13" t="s">
        <v>392</v>
      </c>
      <c r="F376" s="13" t="s">
        <v>1456</v>
      </c>
      <c r="G376" s="13" t="s">
        <v>1183</v>
      </c>
      <c r="H376" s="17" t="s">
        <v>1586</v>
      </c>
      <c r="I376" s="12"/>
      <c r="J376" s="12"/>
      <c r="K376" s="23"/>
      <c r="L376" s="23" t="s">
        <v>1491</v>
      </c>
      <c r="M376" s="259">
        <v>1</v>
      </c>
      <c r="N376" s="24"/>
      <c r="O376" s="23" t="s">
        <v>113</v>
      </c>
      <c r="P376" s="24">
        <v>130</v>
      </c>
      <c r="Q376" s="25"/>
      <c r="R376" s="23" t="s">
        <v>114</v>
      </c>
      <c r="S376" s="24">
        <v>1</v>
      </c>
      <c r="T376" s="25"/>
      <c r="U376" s="25"/>
      <c r="V376" s="25"/>
    </row>
    <row r="377" spans="1:22" ht="152.25" customHeight="1" x14ac:dyDescent="0.25">
      <c r="A377" s="23" t="s">
        <v>1502</v>
      </c>
      <c r="B377" s="279" t="s">
        <v>701</v>
      </c>
      <c r="C377" s="74" t="s">
        <v>1503</v>
      </c>
      <c r="D377" s="13" t="s">
        <v>212</v>
      </c>
      <c r="E377" s="13" t="s">
        <v>392</v>
      </c>
      <c r="F377" s="13" t="s">
        <v>1456</v>
      </c>
      <c r="G377" s="13" t="s">
        <v>1183</v>
      </c>
      <c r="H377" s="17" t="s">
        <v>1586</v>
      </c>
      <c r="I377" s="12"/>
      <c r="J377" s="12"/>
      <c r="K377" s="23"/>
      <c r="L377" s="23" t="s">
        <v>1491</v>
      </c>
      <c r="M377" s="259">
        <v>1</v>
      </c>
      <c r="N377" s="24"/>
      <c r="O377" s="23" t="s">
        <v>113</v>
      </c>
      <c r="P377" s="24">
        <v>503</v>
      </c>
      <c r="Q377" s="25"/>
      <c r="R377" s="23" t="s">
        <v>114</v>
      </c>
      <c r="S377" s="24">
        <v>1</v>
      </c>
      <c r="T377" s="25"/>
      <c r="U377" s="25"/>
      <c r="V377" s="25"/>
    </row>
    <row r="378" spans="1:22" ht="152.25" customHeight="1" x14ac:dyDescent="0.25">
      <c r="A378" s="23" t="s">
        <v>1504</v>
      </c>
      <c r="B378" s="279" t="s">
        <v>702</v>
      </c>
      <c r="C378" s="74" t="s">
        <v>1505</v>
      </c>
      <c r="D378" s="13" t="s">
        <v>1580</v>
      </c>
      <c r="E378" s="13" t="s">
        <v>392</v>
      </c>
      <c r="F378" s="13" t="s">
        <v>1456</v>
      </c>
      <c r="G378" s="13" t="s">
        <v>1183</v>
      </c>
      <c r="H378" s="17" t="s">
        <v>1586</v>
      </c>
      <c r="I378" s="12"/>
      <c r="J378" s="12"/>
      <c r="K378" s="23"/>
      <c r="L378" s="23" t="s">
        <v>1491</v>
      </c>
      <c r="M378" s="259">
        <v>1</v>
      </c>
      <c r="N378" s="24"/>
      <c r="O378" s="23" t="s">
        <v>113</v>
      </c>
      <c r="P378" s="24">
        <v>1121</v>
      </c>
      <c r="Q378" s="25"/>
      <c r="R378" s="23" t="s">
        <v>114</v>
      </c>
      <c r="S378" s="24">
        <v>1</v>
      </c>
      <c r="T378" s="25"/>
      <c r="U378" s="25"/>
      <c r="V378" s="25"/>
    </row>
    <row r="379" spans="1:22" ht="152.25" customHeight="1" x14ac:dyDescent="0.25">
      <c r="A379" s="23" t="s">
        <v>1506</v>
      </c>
      <c r="B379" s="279" t="s">
        <v>703</v>
      </c>
      <c r="C379" s="74" t="s">
        <v>1507</v>
      </c>
      <c r="D379" s="13" t="s">
        <v>1580</v>
      </c>
      <c r="E379" s="13" t="s">
        <v>392</v>
      </c>
      <c r="F379" s="13" t="s">
        <v>1456</v>
      </c>
      <c r="G379" s="13" t="s">
        <v>1183</v>
      </c>
      <c r="H379" s="17" t="s">
        <v>1586</v>
      </c>
      <c r="I379" s="12"/>
      <c r="J379" s="12"/>
      <c r="K379" s="23"/>
      <c r="L379" s="23" t="s">
        <v>1491</v>
      </c>
      <c r="M379" s="259">
        <v>1</v>
      </c>
      <c r="N379" s="24"/>
      <c r="O379" s="23" t="s">
        <v>113</v>
      </c>
      <c r="P379" s="24">
        <v>1451</v>
      </c>
      <c r="Q379" s="25"/>
      <c r="R379" s="23" t="s">
        <v>114</v>
      </c>
      <c r="S379" s="24">
        <v>1</v>
      </c>
      <c r="T379" s="25"/>
      <c r="U379" s="25"/>
      <c r="V379" s="25"/>
    </row>
    <row r="380" spans="1:22" ht="152.25" customHeight="1" x14ac:dyDescent="0.25">
      <c r="A380" s="23" t="s">
        <v>1511</v>
      </c>
      <c r="B380" s="279" t="s">
        <v>704</v>
      </c>
      <c r="C380" s="74" t="s">
        <v>1519</v>
      </c>
      <c r="D380" s="13" t="s">
        <v>1590</v>
      </c>
      <c r="E380" s="13" t="s">
        <v>392</v>
      </c>
      <c r="F380" s="13" t="s">
        <v>261</v>
      </c>
      <c r="G380" s="13" t="s">
        <v>1183</v>
      </c>
      <c r="H380" s="17" t="s">
        <v>1586</v>
      </c>
      <c r="I380" s="12"/>
      <c r="J380" s="12"/>
      <c r="K380" s="23"/>
      <c r="L380" s="23" t="s">
        <v>1491</v>
      </c>
      <c r="M380" s="259">
        <v>7</v>
      </c>
      <c r="N380" s="24"/>
      <c r="O380" s="23" t="s">
        <v>113</v>
      </c>
      <c r="P380" s="24">
        <v>273</v>
      </c>
      <c r="Q380" s="25"/>
      <c r="R380" s="23" t="s">
        <v>114</v>
      </c>
      <c r="S380" s="24">
        <v>1</v>
      </c>
      <c r="T380" s="25"/>
      <c r="U380" s="25"/>
      <c r="V380" s="25"/>
    </row>
    <row r="381" spans="1:22" ht="152.25" customHeight="1" x14ac:dyDescent="0.25">
      <c r="A381" s="23" t="s">
        <v>1512</v>
      </c>
      <c r="B381" s="279" t="s">
        <v>705</v>
      </c>
      <c r="C381" s="74" t="s">
        <v>1520</v>
      </c>
      <c r="D381" s="13" t="s">
        <v>1590</v>
      </c>
      <c r="E381" s="13" t="s">
        <v>392</v>
      </c>
      <c r="F381" s="13" t="s">
        <v>261</v>
      </c>
      <c r="G381" s="13" t="s">
        <v>1183</v>
      </c>
      <c r="H381" s="17" t="s">
        <v>1586</v>
      </c>
      <c r="I381" s="12"/>
      <c r="J381" s="12"/>
      <c r="K381" s="23"/>
      <c r="L381" s="23" t="s">
        <v>1491</v>
      </c>
      <c r="M381" s="259">
        <v>1</v>
      </c>
      <c r="N381" s="24"/>
      <c r="O381" s="23" t="s">
        <v>113</v>
      </c>
      <c r="P381" s="24">
        <v>750</v>
      </c>
      <c r="Q381" s="25"/>
      <c r="R381" s="23" t="s">
        <v>114</v>
      </c>
      <c r="S381" s="24">
        <v>1</v>
      </c>
      <c r="T381" s="25"/>
      <c r="U381" s="25"/>
      <c r="V381" s="25"/>
    </row>
    <row r="382" spans="1:22" ht="152.25" customHeight="1" x14ac:dyDescent="0.25">
      <c r="A382" s="23" t="s">
        <v>1513</v>
      </c>
      <c r="B382" s="279" t="s">
        <v>706</v>
      </c>
      <c r="C382" s="74" t="s">
        <v>1521</v>
      </c>
      <c r="D382" s="13" t="s">
        <v>1590</v>
      </c>
      <c r="E382" s="13" t="s">
        <v>392</v>
      </c>
      <c r="F382" s="13" t="s">
        <v>261</v>
      </c>
      <c r="G382" s="13" t="s">
        <v>1183</v>
      </c>
      <c r="H382" s="17" t="s">
        <v>1586</v>
      </c>
      <c r="I382" s="12"/>
      <c r="J382" s="12"/>
      <c r="K382" s="23"/>
      <c r="L382" s="23" t="s">
        <v>1491</v>
      </c>
      <c r="M382" s="259">
        <v>1</v>
      </c>
      <c r="N382" s="24"/>
      <c r="O382" s="23" t="s">
        <v>113</v>
      </c>
      <c r="P382" s="24">
        <v>750</v>
      </c>
      <c r="Q382" s="25"/>
      <c r="R382" s="23" t="s">
        <v>114</v>
      </c>
      <c r="S382" s="24">
        <v>1</v>
      </c>
      <c r="T382" s="25"/>
      <c r="U382" s="25"/>
      <c r="V382" s="25"/>
    </row>
    <row r="383" spans="1:22" ht="152.25" customHeight="1" x14ac:dyDescent="0.25">
      <c r="A383" s="23" t="s">
        <v>1514</v>
      </c>
      <c r="B383" s="279" t="s">
        <v>707</v>
      </c>
      <c r="C383" s="74" t="s">
        <v>260</v>
      </c>
      <c r="D383" s="13" t="s">
        <v>1590</v>
      </c>
      <c r="E383" s="13" t="s">
        <v>392</v>
      </c>
      <c r="F383" s="13" t="s">
        <v>261</v>
      </c>
      <c r="G383" s="13" t="s">
        <v>1183</v>
      </c>
      <c r="H383" s="17" t="s">
        <v>1586</v>
      </c>
      <c r="I383" s="12"/>
      <c r="J383" s="12"/>
      <c r="K383" s="23"/>
      <c r="L383" s="23" t="s">
        <v>1491</v>
      </c>
      <c r="M383" s="259">
        <v>1</v>
      </c>
      <c r="N383" s="24"/>
      <c r="O383" s="23" t="s">
        <v>113</v>
      </c>
      <c r="P383" s="24">
        <v>872</v>
      </c>
      <c r="Q383" s="25"/>
      <c r="R383" s="23" t="s">
        <v>114</v>
      </c>
      <c r="S383" s="24">
        <v>1</v>
      </c>
      <c r="T383" s="25"/>
      <c r="U383" s="25"/>
      <c r="V383" s="25"/>
    </row>
    <row r="384" spans="1:22" ht="152.25" customHeight="1" x14ac:dyDescent="0.25">
      <c r="A384" s="23" t="s">
        <v>1515</v>
      </c>
      <c r="B384" s="279" t="s">
        <v>708</v>
      </c>
      <c r="C384" s="74" t="s">
        <v>1522</v>
      </c>
      <c r="D384" s="13" t="s">
        <v>1590</v>
      </c>
      <c r="E384" s="13" t="s">
        <v>392</v>
      </c>
      <c r="F384" s="13" t="s">
        <v>261</v>
      </c>
      <c r="G384" s="13" t="s">
        <v>1183</v>
      </c>
      <c r="H384" s="17" t="s">
        <v>1586</v>
      </c>
      <c r="I384" s="12"/>
      <c r="J384" s="12"/>
      <c r="K384" s="23"/>
      <c r="L384" s="23" t="s">
        <v>1491</v>
      </c>
      <c r="M384" s="259">
        <v>1</v>
      </c>
      <c r="N384" s="24"/>
      <c r="O384" s="23" t="s">
        <v>113</v>
      </c>
      <c r="P384" s="24">
        <v>781</v>
      </c>
      <c r="Q384" s="25"/>
      <c r="R384" s="23" t="s">
        <v>114</v>
      </c>
      <c r="S384" s="24">
        <v>1</v>
      </c>
      <c r="T384" s="25"/>
      <c r="U384" s="25"/>
      <c r="V384" s="25"/>
    </row>
    <row r="385" spans="1:22" ht="152.25" customHeight="1" x14ac:dyDescent="0.25">
      <c r="A385" s="23" t="s">
        <v>1516</v>
      </c>
      <c r="B385" s="279" t="s">
        <v>709</v>
      </c>
      <c r="C385" s="74" t="s">
        <v>1523</v>
      </c>
      <c r="D385" s="13" t="s">
        <v>1590</v>
      </c>
      <c r="E385" s="13" t="s">
        <v>392</v>
      </c>
      <c r="F385" s="13" t="s">
        <v>261</v>
      </c>
      <c r="G385" s="13" t="s">
        <v>1183</v>
      </c>
      <c r="H385" s="17" t="s">
        <v>1586</v>
      </c>
      <c r="I385" s="12"/>
      <c r="J385" s="12"/>
      <c r="K385" s="23"/>
      <c r="L385" s="23" t="s">
        <v>1491</v>
      </c>
      <c r="M385" s="259">
        <v>1</v>
      </c>
      <c r="N385" s="24"/>
      <c r="O385" s="23" t="s">
        <v>113</v>
      </c>
      <c r="P385" s="24">
        <v>254</v>
      </c>
      <c r="Q385" s="25"/>
      <c r="R385" s="23" t="s">
        <v>114</v>
      </c>
      <c r="S385" s="24">
        <v>1</v>
      </c>
      <c r="T385" s="25"/>
      <c r="U385" s="25"/>
      <c r="V385" s="25"/>
    </row>
    <row r="386" spans="1:22" ht="152.25" customHeight="1" x14ac:dyDescent="0.25">
      <c r="A386" s="23" t="s">
        <v>1517</v>
      </c>
      <c r="B386" s="279" t="s">
        <v>710</v>
      </c>
      <c r="C386" s="74" t="s">
        <v>1524</v>
      </c>
      <c r="D386" s="13" t="s">
        <v>1590</v>
      </c>
      <c r="E386" s="13" t="s">
        <v>392</v>
      </c>
      <c r="F386" s="13" t="s">
        <v>261</v>
      </c>
      <c r="G386" s="13" t="s">
        <v>1183</v>
      </c>
      <c r="H386" s="17" t="s">
        <v>1586</v>
      </c>
      <c r="I386" s="12"/>
      <c r="J386" s="12"/>
      <c r="K386" s="23"/>
      <c r="L386" s="23" t="s">
        <v>1491</v>
      </c>
      <c r="M386" s="259">
        <v>1</v>
      </c>
      <c r="N386" s="24"/>
      <c r="O386" s="23" t="s">
        <v>113</v>
      </c>
      <c r="P386" s="24">
        <v>264</v>
      </c>
      <c r="Q386" s="25"/>
      <c r="R386" s="23" t="s">
        <v>114</v>
      </c>
      <c r="S386" s="24">
        <v>1</v>
      </c>
      <c r="T386" s="25"/>
      <c r="U386" s="25"/>
      <c r="V386" s="25"/>
    </row>
    <row r="387" spans="1:22" ht="152.25" customHeight="1" x14ac:dyDescent="0.25">
      <c r="A387" s="23" t="s">
        <v>1518</v>
      </c>
      <c r="B387" s="279" t="s">
        <v>711</v>
      </c>
      <c r="C387" s="74" t="s">
        <v>259</v>
      </c>
      <c r="D387" s="13" t="s">
        <v>1590</v>
      </c>
      <c r="E387" s="13" t="s">
        <v>392</v>
      </c>
      <c r="F387" s="13" t="s">
        <v>261</v>
      </c>
      <c r="G387" s="13" t="s">
        <v>1183</v>
      </c>
      <c r="H387" s="17" t="s">
        <v>1586</v>
      </c>
      <c r="I387" s="12"/>
      <c r="J387" s="12"/>
      <c r="K387" s="23"/>
      <c r="L387" s="23" t="s">
        <v>1491</v>
      </c>
      <c r="M387" s="259">
        <v>1</v>
      </c>
      <c r="N387" s="24"/>
      <c r="O387" s="23" t="s">
        <v>113</v>
      </c>
      <c r="P387" s="24">
        <v>728</v>
      </c>
      <c r="Q387" s="25"/>
      <c r="R387" s="23" t="s">
        <v>114</v>
      </c>
      <c r="S387" s="24">
        <v>1</v>
      </c>
      <c r="T387" s="25"/>
      <c r="U387" s="25"/>
      <c r="V387" s="25"/>
    </row>
    <row r="388" spans="1:22" ht="60" x14ac:dyDescent="0.25">
      <c r="A388" s="428" t="s">
        <v>1788</v>
      </c>
      <c r="B388" s="436"/>
      <c r="C388" s="428" t="s">
        <v>1795</v>
      </c>
      <c r="D388" s="463"/>
      <c r="E388" s="463"/>
      <c r="F388" s="463"/>
      <c r="G388" s="463"/>
      <c r="H388" s="463"/>
      <c r="I388" s="463"/>
      <c r="J388" s="463"/>
      <c r="K388" s="460"/>
      <c r="L388" s="460"/>
      <c r="M388" s="461"/>
      <c r="N388" s="462"/>
      <c r="O388" s="460"/>
      <c r="P388" s="462"/>
      <c r="Q388" s="460"/>
      <c r="R388" s="460"/>
      <c r="S388" s="462"/>
      <c r="T388" s="460"/>
      <c r="U388" s="460"/>
      <c r="V388" s="460"/>
    </row>
    <row r="389" spans="1:22" ht="36" x14ac:dyDescent="0.25">
      <c r="A389" s="428" t="s">
        <v>1789</v>
      </c>
      <c r="B389" s="436"/>
      <c r="C389" s="428" t="s">
        <v>1796</v>
      </c>
      <c r="D389" s="463"/>
      <c r="E389" s="463"/>
      <c r="F389" s="463"/>
      <c r="G389" s="463"/>
      <c r="H389" s="463"/>
      <c r="I389" s="463"/>
      <c r="J389" s="463"/>
      <c r="K389" s="460"/>
      <c r="L389" s="460"/>
      <c r="M389" s="461"/>
      <c r="N389" s="462"/>
      <c r="O389" s="460"/>
      <c r="P389" s="462"/>
      <c r="Q389" s="460"/>
      <c r="R389" s="460"/>
      <c r="S389" s="462"/>
      <c r="T389" s="460"/>
      <c r="U389" s="460"/>
      <c r="V389" s="460"/>
    </row>
    <row r="390" spans="1:22" ht="96" x14ac:dyDescent="0.25">
      <c r="A390" s="42" t="s">
        <v>1656</v>
      </c>
      <c r="B390" s="44"/>
      <c r="C390" s="42" t="s">
        <v>1785</v>
      </c>
      <c r="D390" s="104"/>
      <c r="E390" s="104"/>
      <c r="F390" s="104"/>
      <c r="G390" s="104"/>
      <c r="H390" s="104"/>
      <c r="I390" s="104"/>
      <c r="J390" s="104"/>
      <c r="K390" s="106"/>
      <c r="L390" s="106"/>
      <c r="M390" s="257"/>
      <c r="N390" s="105"/>
      <c r="O390" s="106"/>
      <c r="P390" s="105"/>
      <c r="Q390" s="106"/>
      <c r="R390" s="106"/>
      <c r="S390" s="105"/>
      <c r="T390" s="106"/>
      <c r="U390" s="106"/>
      <c r="V390" s="106"/>
    </row>
    <row r="391" spans="1:22" ht="72" x14ac:dyDescent="0.25">
      <c r="A391" s="428" t="s">
        <v>1790</v>
      </c>
      <c r="B391" s="436"/>
      <c r="C391" s="428" t="s">
        <v>1797</v>
      </c>
      <c r="D391" s="463"/>
      <c r="E391" s="463"/>
      <c r="F391" s="463"/>
      <c r="G391" s="463"/>
      <c r="H391" s="463"/>
      <c r="I391" s="463"/>
      <c r="J391" s="463"/>
      <c r="K391" s="460"/>
      <c r="L391" s="460"/>
      <c r="M391" s="461"/>
      <c r="N391" s="462"/>
      <c r="O391" s="460"/>
      <c r="P391" s="462"/>
      <c r="Q391" s="460"/>
      <c r="R391" s="460"/>
      <c r="S391" s="462"/>
      <c r="T391" s="460"/>
      <c r="U391" s="460"/>
      <c r="V391" s="460"/>
    </row>
    <row r="392" spans="1:22" ht="48" x14ac:dyDescent="0.25">
      <c r="A392" s="428" t="s">
        <v>1791</v>
      </c>
      <c r="B392" s="436"/>
      <c r="C392" s="428" t="s">
        <v>1798</v>
      </c>
      <c r="D392" s="463"/>
      <c r="E392" s="463"/>
      <c r="F392" s="463"/>
      <c r="G392" s="463"/>
      <c r="H392" s="463"/>
      <c r="I392" s="463"/>
      <c r="J392" s="463"/>
      <c r="K392" s="460"/>
      <c r="L392" s="460"/>
      <c r="M392" s="461"/>
      <c r="N392" s="462"/>
      <c r="O392" s="460"/>
      <c r="P392" s="462"/>
      <c r="Q392" s="460"/>
      <c r="R392" s="460"/>
      <c r="S392" s="462"/>
      <c r="T392" s="460"/>
      <c r="U392" s="460"/>
      <c r="V392" s="460"/>
    </row>
    <row r="393" spans="1:22" ht="96" x14ac:dyDescent="0.25">
      <c r="A393" s="428" t="s">
        <v>1792</v>
      </c>
      <c r="B393" s="436"/>
      <c r="C393" s="428" t="s">
        <v>1799</v>
      </c>
      <c r="D393" s="463"/>
      <c r="E393" s="463"/>
      <c r="F393" s="463"/>
      <c r="G393" s="463"/>
      <c r="H393" s="463"/>
      <c r="I393" s="463"/>
      <c r="J393" s="463"/>
      <c r="K393" s="460"/>
      <c r="L393" s="460"/>
      <c r="M393" s="461"/>
      <c r="N393" s="462"/>
      <c r="O393" s="460"/>
      <c r="P393" s="462"/>
      <c r="Q393" s="460"/>
      <c r="R393" s="460"/>
      <c r="S393" s="462"/>
      <c r="T393" s="460"/>
      <c r="U393" s="460"/>
      <c r="V393" s="460"/>
    </row>
    <row r="394" spans="1:22" ht="36" x14ac:dyDescent="0.25">
      <c r="A394" s="398" t="s">
        <v>1657</v>
      </c>
      <c r="B394" s="402"/>
      <c r="C394" s="398" t="s">
        <v>1658</v>
      </c>
      <c r="D394" s="452"/>
      <c r="E394" s="452"/>
      <c r="F394" s="452"/>
      <c r="G394" s="452"/>
      <c r="H394" s="452"/>
      <c r="I394" s="452"/>
      <c r="J394" s="452"/>
      <c r="K394" s="453"/>
      <c r="L394" s="453"/>
      <c r="M394" s="454"/>
      <c r="N394" s="455"/>
      <c r="O394" s="453"/>
      <c r="P394" s="455"/>
      <c r="Q394" s="453"/>
      <c r="R394" s="453"/>
      <c r="S394" s="455"/>
      <c r="T394" s="453"/>
      <c r="U394" s="453"/>
      <c r="V394" s="453"/>
    </row>
    <row r="395" spans="1:22" ht="48" x14ac:dyDescent="0.25">
      <c r="A395" s="41" t="s">
        <v>1659</v>
      </c>
      <c r="B395" s="85"/>
      <c r="C395" s="41" t="s">
        <v>1660</v>
      </c>
      <c r="D395" s="95"/>
      <c r="E395" s="95"/>
      <c r="F395" s="95"/>
      <c r="G395" s="95"/>
      <c r="H395" s="95"/>
      <c r="I395" s="95"/>
      <c r="J395" s="95"/>
      <c r="K395" s="103"/>
      <c r="L395" s="103"/>
      <c r="M395" s="256"/>
      <c r="N395" s="102"/>
      <c r="O395" s="103"/>
      <c r="P395" s="102"/>
      <c r="Q395" s="103"/>
      <c r="R395" s="103"/>
      <c r="S395" s="102"/>
      <c r="T395" s="103"/>
      <c r="U395" s="103"/>
      <c r="V395" s="103"/>
    </row>
    <row r="396" spans="1:22" ht="84" x14ac:dyDescent="0.25">
      <c r="A396" s="43" t="s">
        <v>1662</v>
      </c>
      <c r="B396" s="46"/>
      <c r="C396" s="43" t="s">
        <v>1665</v>
      </c>
      <c r="D396" s="98"/>
      <c r="E396" s="98"/>
      <c r="F396" s="98"/>
      <c r="G396" s="98"/>
      <c r="H396" s="98"/>
      <c r="I396" s="98"/>
      <c r="J396" s="98"/>
      <c r="K396" s="106"/>
      <c r="L396" s="106"/>
      <c r="M396" s="257"/>
      <c r="N396" s="105"/>
      <c r="O396" s="106"/>
      <c r="P396" s="105"/>
      <c r="Q396" s="106"/>
      <c r="R396" s="106"/>
      <c r="S396" s="105"/>
      <c r="T396" s="106"/>
      <c r="U396" s="106"/>
      <c r="V396" s="106"/>
    </row>
    <row r="397" spans="1:22" ht="60" x14ac:dyDescent="0.25">
      <c r="A397" s="428" t="s">
        <v>1801</v>
      </c>
      <c r="B397" s="429"/>
      <c r="C397" s="428" t="s">
        <v>1807</v>
      </c>
      <c r="D397" s="456"/>
      <c r="E397" s="456"/>
      <c r="F397" s="456"/>
      <c r="G397" s="456"/>
      <c r="H397" s="456"/>
      <c r="I397" s="456"/>
      <c r="J397" s="456"/>
      <c r="K397" s="460"/>
      <c r="L397" s="460"/>
      <c r="M397" s="461"/>
      <c r="N397" s="462"/>
      <c r="O397" s="460"/>
      <c r="P397" s="462"/>
      <c r="Q397" s="460"/>
      <c r="R397" s="460"/>
      <c r="S397" s="462"/>
      <c r="T397" s="460"/>
      <c r="U397" s="460"/>
      <c r="V397" s="460"/>
    </row>
    <row r="398" spans="1:22" ht="48" x14ac:dyDescent="0.25">
      <c r="A398" s="23" t="s">
        <v>930</v>
      </c>
      <c r="B398" s="279" t="s">
        <v>712</v>
      </c>
      <c r="C398" s="23" t="s">
        <v>811</v>
      </c>
      <c r="D398" s="10" t="s">
        <v>1587</v>
      </c>
      <c r="E398" s="10" t="s">
        <v>776</v>
      </c>
      <c r="F398" s="10" t="s">
        <v>1454</v>
      </c>
      <c r="G398" s="9" t="s">
        <v>1384</v>
      </c>
      <c r="H398" s="10" t="s">
        <v>1586</v>
      </c>
      <c r="I398" s="10"/>
      <c r="J398" s="10"/>
      <c r="K398" s="23" t="s">
        <v>1064</v>
      </c>
      <c r="L398" s="23" t="s">
        <v>1065</v>
      </c>
      <c r="M398" s="259">
        <v>2947</v>
      </c>
      <c r="N398" s="24"/>
      <c r="O398" s="25"/>
      <c r="P398" s="24"/>
      <c r="Q398" s="25"/>
      <c r="R398" s="25"/>
      <c r="S398" s="24"/>
      <c r="T398" s="25"/>
      <c r="U398" s="25"/>
      <c r="V398" s="25"/>
    </row>
    <row r="399" spans="1:22" ht="48" x14ac:dyDescent="0.25">
      <c r="A399" s="23" t="s">
        <v>931</v>
      </c>
      <c r="B399" s="279" t="s">
        <v>713</v>
      </c>
      <c r="C399" s="19" t="s">
        <v>1391</v>
      </c>
      <c r="D399" s="13" t="s">
        <v>1443</v>
      </c>
      <c r="E399" s="13" t="s">
        <v>776</v>
      </c>
      <c r="F399" s="13" t="s">
        <v>1455</v>
      </c>
      <c r="G399" s="10" t="s">
        <v>1384</v>
      </c>
      <c r="H399" s="13" t="s">
        <v>1586</v>
      </c>
      <c r="I399" s="13"/>
      <c r="J399" s="13"/>
      <c r="K399" s="23" t="s">
        <v>1064</v>
      </c>
      <c r="L399" s="23" t="s">
        <v>1065</v>
      </c>
      <c r="M399" s="259">
        <v>3243.6</v>
      </c>
      <c r="N399" s="24"/>
      <c r="O399" s="25"/>
      <c r="P399" s="24"/>
      <c r="Q399" s="25"/>
      <c r="R399" s="25"/>
      <c r="S399" s="24"/>
      <c r="T399" s="25"/>
      <c r="U399" s="25"/>
      <c r="V399" s="25"/>
    </row>
    <row r="400" spans="1:22" ht="48" x14ac:dyDescent="0.25">
      <c r="A400" s="23" t="s">
        <v>932</v>
      </c>
      <c r="B400" s="279" t="s">
        <v>714</v>
      </c>
      <c r="C400" s="23" t="s">
        <v>1415</v>
      </c>
      <c r="D400" s="10" t="s">
        <v>850</v>
      </c>
      <c r="E400" s="10" t="s">
        <v>776</v>
      </c>
      <c r="F400" s="10" t="s">
        <v>1400</v>
      </c>
      <c r="G400" s="9" t="s">
        <v>1384</v>
      </c>
      <c r="H400" s="24" t="s">
        <v>1586</v>
      </c>
      <c r="I400" s="10" t="s">
        <v>858</v>
      </c>
      <c r="J400" s="10"/>
      <c r="K400" s="25" t="s">
        <v>1064</v>
      </c>
      <c r="L400" s="23" t="s">
        <v>1065</v>
      </c>
      <c r="M400" s="259">
        <v>13065</v>
      </c>
      <c r="N400" s="24"/>
      <c r="O400" s="25"/>
      <c r="P400" s="24"/>
      <c r="Q400" s="25"/>
      <c r="R400" s="25"/>
      <c r="S400" s="24"/>
      <c r="T400" s="25"/>
      <c r="U400" s="25"/>
      <c r="V400" s="25"/>
    </row>
    <row r="401" spans="1:22" ht="48" x14ac:dyDescent="0.25">
      <c r="A401" s="261" t="s">
        <v>1451</v>
      </c>
      <c r="B401" s="279" t="s">
        <v>715</v>
      </c>
      <c r="C401" s="49" t="s">
        <v>1334</v>
      </c>
      <c r="D401" s="26" t="s">
        <v>1590</v>
      </c>
      <c r="E401" s="26" t="s">
        <v>776</v>
      </c>
      <c r="F401" s="9" t="s">
        <v>1446</v>
      </c>
      <c r="G401" s="9" t="s">
        <v>1384</v>
      </c>
      <c r="H401" s="26" t="s">
        <v>1586</v>
      </c>
      <c r="I401" s="10"/>
      <c r="J401" s="10"/>
      <c r="K401" s="258" t="s">
        <v>1064</v>
      </c>
      <c r="L401" s="258" t="s">
        <v>1065</v>
      </c>
      <c r="M401" s="259">
        <v>4373.5</v>
      </c>
      <c r="N401" s="24"/>
      <c r="O401" s="25"/>
      <c r="P401" s="24"/>
      <c r="Q401" s="25"/>
      <c r="R401" s="25"/>
      <c r="S401" s="24"/>
      <c r="T401" s="25"/>
      <c r="U401" s="25"/>
      <c r="V401" s="25"/>
    </row>
    <row r="402" spans="1:22" ht="60" x14ac:dyDescent="0.25">
      <c r="A402" s="261" t="s">
        <v>1450</v>
      </c>
      <c r="B402" s="279" t="s">
        <v>716</v>
      </c>
      <c r="C402" s="242" t="s">
        <v>1452</v>
      </c>
      <c r="D402" s="26" t="s">
        <v>1453</v>
      </c>
      <c r="E402" s="26" t="s">
        <v>776</v>
      </c>
      <c r="F402" s="8" t="s">
        <v>88</v>
      </c>
      <c r="G402" s="9" t="s">
        <v>1384</v>
      </c>
      <c r="H402" s="26" t="s">
        <v>1586</v>
      </c>
      <c r="I402" s="269"/>
      <c r="J402" s="10"/>
      <c r="K402" s="25" t="s">
        <v>1064</v>
      </c>
      <c r="L402" s="23" t="s">
        <v>1065</v>
      </c>
      <c r="M402" s="259">
        <v>3937</v>
      </c>
      <c r="N402" s="24"/>
      <c r="O402" s="74"/>
      <c r="P402" s="24"/>
      <c r="Q402" s="25"/>
      <c r="R402" s="23"/>
      <c r="S402" s="24"/>
      <c r="T402" s="25"/>
      <c r="U402" s="25"/>
      <c r="V402" s="25"/>
    </row>
    <row r="403" spans="1:22" ht="48" x14ac:dyDescent="0.25">
      <c r="A403" s="261" t="s">
        <v>1416</v>
      </c>
      <c r="B403" s="279" t="s">
        <v>717</v>
      </c>
      <c r="C403" s="242" t="s">
        <v>1438</v>
      </c>
      <c r="D403" s="24" t="s">
        <v>1580</v>
      </c>
      <c r="E403" s="24" t="s">
        <v>776</v>
      </c>
      <c r="F403" s="10" t="s">
        <v>27</v>
      </c>
      <c r="G403" s="9" t="s">
        <v>1384</v>
      </c>
      <c r="H403" s="24" t="s">
        <v>1586</v>
      </c>
      <c r="I403" s="10"/>
      <c r="J403" s="10"/>
      <c r="K403" s="25" t="s">
        <v>1064</v>
      </c>
      <c r="L403" s="23" t="s">
        <v>1065</v>
      </c>
      <c r="M403" s="259">
        <v>1600</v>
      </c>
      <c r="N403" s="24"/>
      <c r="O403" s="74"/>
      <c r="P403" s="24"/>
      <c r="Q403" s="25"/>
      <c r="R403" s="23"/>
      <c r="S403" s="24"/>
      <c r="T403" s="25"/>
      <c r="U403" s="25"/>
      <c r="V403" s="25"/>
    </row>
    <row r="404" spans="1:22" ht="48" x14ac:dyDescent="0.25">
      <c r="A404" s="261" t="s">
        <v>1437</v>
      </c>
      <c r="B404" s="279" t="s">
        <v>718</v>
      </c>
      <c r="C404" s="71" t="s">
        <v>1475</v>
      </c>
      <c r="D404" s="26" t="s">
        <v>1589</v>
      </c>
      <c r="E404" s="26" t="s">
        <v>776</v>
      </c>
      <c r="F404" s="9" t="s">
        <v>1441</v>
      </c>
      <c r="G404" s="9" t="s">
        <v>1384</v>
      </c>
      <c r="H404" s="26" t="s">
        <v>1586</v>
      </c>
      <c r="I404" s="10"/>
      <c r="J404" s="10"/>
      <c r="K404" s="271" t="str">
        <f>+K403</f>
        <v>P.S.329</v>
      </c>
      <c r="L404" s="271" t="str">
        <f>+L403</f>
        <v>Sukurti/pagerinti atskiro komunalinių atliekų surinkimo pajėgumai (tonos/metai)</v>
      </c>
      <c r="M404" s="259">
        <v>2463</v>
      </c>
      <c r="N404" s="24"/>
      <c r="O404" s="74"/>
      <c r="P404" s="24"/>
      <c r="Q404" s="25"/>
      <c r="R404" s="23"/>
      <c r="S404" s="24"/>
      <c r="T404" s="25"/>
      <c r="U404" s="25"/>
      <c r="V404" s="25"/>
    </row>
    <row r="405" spans="1:22" ht="84" x14ac:dyDescent="0.25">
      <c r="A405" s="428" t="s">
        <v>1802</v>
      </c>
      <c r="B405" s="429"/>
      <c r="C405" s="428" t="s">
        <v>1808</v>
      </c>
      <c r="D405" s="456"/>
      <c r="E405" s="456"/>
      <c r="F405" s="456"/>
      <c r="G405" s="456"/>
      <c r="H405" s="456"/>
      <c r="I405" s="456"/>
      <c r="J405" s="456"/>
      <c r="K405" s="460"/>
      <c r="L405" s="460"/>
      <c r="M405" s="461"/>
      <c r="N405" s="462"/>
      <c r="O405" s="460"/>
      <c r="P405" s="462"/>
      <c r="Q405" s="460"/>
      <c r="R405" s="460"/>
      <c r="S405" s="462"/>
      <c r="T405" s="460"/>
      <c r="U405" s="460"/>
      <c r="V405" s="460"/>
    </row>
    <row r="406" spans="1:22" ht="36" x14ac:dyDescent="0.25">
      <c r="A406" s="428" t="s">
        <v>1803</v>
      </c>
      <c r="B406" s="429"/>
      <c r="C406" s="428" t="s">
        <v>1809</v>
      </c>
      <c r="D406" s="456"/>
      <c r="E406" s="456"/>
      <c r="F406" s="456"/>
      <c r="G406" s="456"/>
      <c r="H406" s="456"/>
      <c r="I406" s="456"/>
      <c r="J406" s="456"/>
      <c r="K406" s="460"/>
      <c r="L406" s="460"/>
      <c r="M406" s="461"/>
      <c r="N406" s="462"/>
      <c r="O406" s="460"/>
      <c r="P406" s="462"/>
      <c r="Q406" s="460"/>
      <c r="R406" s="460"/>
      <c r="S406" s="462"/>
      <c r="T406" s="460"/>
      <c r="U406" s="460"/>
      <c r="V406" s="460"/>
    </row>
    <row r="407" spans="1:22" ht="48" x14ac:dyDescent="0.25">
      <c r="A407" s="49" t="s">
        <v>933</v>
      </c>
      <c r="B407" s="279" t="s">
        <v>719</v>
      </c>
      <c r="C407" s="23" t="s">
        <v>1417</v>
      </c>
      <c r="D407" s="10" t="s">
        <v>850</v>
      </c>
      <c r="E407" s="10" t="s">
        <v>776</v>
      </c>
      <c r="F407" s="10" t="s">
        <v>1400</v>
      </c>
      <c r="G407" s="8" t="s">
        <v>1418</v>
      </c>
      <c r="H407" s="10" t="s">
        <v>1592</v>
      </c>
      <c r="I407" s="10" t="s">
        <v>858</v>
      </c>
      <c r="J407" s="10"/>
      <c r="K407" s="25" t="s">
        <v>1169</v>
      </c>
      <c r="L407" s="23" t="s">
        <v>1170</v>
      </c>
      <c r="M407" s="259">
        <v>9</v>
      </c>
      <c r="N407" s="24" t="s">
        <v>1427</v>
      </c>
      <c r="O407" s="23" t="s">
        <v>1428</v>
      </c>
      <c r="P407" s="24">
        <v>1</v>
      </c>
      <c r="Q407" s="25" t="s">
        <v>1429</v>
      </c>
      <c r="R407" s="23" t="s">
        <v>1430</v>
      </c>
      <c r="S407" s="24">
        <v>1</v>
      </c>
      <c r="T407" s="25"/>
      <c r="U407" s="25"/>
      <c r="V407" s="25"/>
    </row>
    <row r="408" spans="1:22" ht="132" x14ac:dyDescent="0.25">
      <c r="A408" s="428" t="s">
        <v>1804</v>
      </c>
      <c r="B408" s="429"/>
      <c r="C408" s="428" t="s">
        <v>1810</v>
      </c>
      <c r="D408" s="456"/>
      <c r="E408" s="456"/>
      <c r="F408" s="456"/>
      <c r="G408" s="456"/>
      <c r="H408" s="456"/>
      <c r="I408" s="456"/>
      <c r="J408" s="456"/>
      <c r="K408" s="460"/>
      <c r="L408" s="460"/>
      <c r="M408" s="461"/>
      <c r="N408" s="462"/>
      <c r="O408" s="460"/>
      <c r="P408" s="462"/>
      <c r="Q408" s="460"/>
      <c r="R408" s="460"/>
      <c r="S408" s="462"/>
      <c r="T408" s="460"/>
      <c r="U408" s="460"/>
      <c r="V408" s="460"/>
    </row>
    <row r="409" spans="1:22" ht="84" x14ac:dyDescent="0.25">
      <c r="A409" s="428" t="s">
        <v>1805</v>
      </c>
      <c r="B409" s="429"/>
      <c r="C409" s="428" t="s">
        <v>1811</v>
      </c>
      <c r="D409" s="456"/>
      <c r="E409" s="456"/>
      <c r="F409" s="456"/>
      <c r="G409" s="456"/>
      <c r="H409" s="456"/>
      <c r="I409" s="456"/>
      <c r="J409" s="456"/>
      <c r="K409" s="460"/>
      <c r="L409" s="460"/>
      <c r="M409" s="461"/>
      <c r="N409" s="462"/>
      <c r="O409" s="460"/>
      <c r="P409" s="462"/>
      <c r="Q409" s="460"/>
      <c r="R409" s="460"/>
      <c r="S409" s="462"/>
      <c r="T409" s="460"/>
      <c r="U409" s="460"/>
      <c r="V409" s="460"/>
    </row>
    <row r="410" spans="1:22" ht="60" x14ac:dyDescent="0.25">
      <c r="A410" s="428" t="s">
        <v>1806</v>
      </c>
      <c r="B410" s="429"/>
      <c r="C410" s="428" t="s">
        <v>1812</v>
      </c>
      <c r="D410" s="456"/>
      <c r="E410" s="456"/>
      <c r="F410" s="456"/>
      <c r="G410" s="456"/>
      <c r="H410" s="456"/>
      <c r="I410" s="456"/>
      <c r="J410" s="456"/>
      <c r="K410" s="460"/>
      <c r="L410" s="460"/>
      <c r="M410" s="461"/>
      <c r="N410" s="462"/>
      <c r="O410" s="460"/>
      <c r="P410" s="462"/>
      <c r="Q410" s="460"/>
      <c r="R410" s="460"/>
      <c r="S410" s="462"/>
      <c r="T410" s="460"/>
      <c r="U410" s="460"/>
      <c r="V410" s="460"/>
    </row>
    <row r="411" spans="1:22" ht="48" x14ac:dyDescent="0.25">
      <c r="A411" s="43" t="s">
        <v>1661</v>
      </c>
      <c r="B411" s="46"/>
      <c r="C411" s="43" t="s">
        <v>1800</v>
      </c>
      <c r="D411" s="98"/>
      <c r="E411" s="98"/>
      <c r="F411" s="98"/>
      <c r="G411" s="98"/>
      <c r="H411" s="98"/>
      <c r="I411" s="98"/>
      <c r="J411" s="98"/>
      <c r="K411" s="106"/>
      <c r="L411" s="106"/>
      <c r="M411" s="257"/>
      <c r="N411" s="105"/>
      <c r="O411" s="106"/>
      <c r="P411" s="105"/>
      <c r="Q411" s="106"/>
      <c r="R411" s="106"/>
      <c r="S411" s="105"/>
      <c r="T411" s="106"/>
      <c r="U411" s="106"/>
      <c r="V411" s="106"/>
    </row>
    <row r="412" spans="1:22" ht="57" customHeight="1" x14ac:dyDescent="0.25">
      <c r="A412" s="428" t="s">
        <v>1813</v>
      </c>
      <c r="B412" s="429"/>
      <c r="C412" s="428" t="s">
        <v>1816</v>
      </c>
      <c r="D412" s="456"/>
      <c r="E412" s="456"/>
      <c r="F412" s="456"/>
      <c r="G412" s="456"/>
      <c r="H412" s="456"/>
      <c r="I412" s="456"/>
      <c r="J412" s="456"/>
      <c r="K412" s="460"/>
      <c r="L412" s="460"/>
      <c r="M412" s="461"/>
      <c r="N412" s="462"/>
      <c r="O412" s="460"/>
      <c r="P412" s="462"/>
      <c r="Q412" s="460"/>
      <c r="R412" s="460"/>
      <c r="S412" s="462"/>
      <c r="T412" s="460"/>
      <c r="U412" s="460"/>
      <c r="V412" s="460"/>
    </row>
    <row r="413" spans="1:22" ht="60" x14ac:dyDescent="0.25">
      <c r="A413" s="23" t="s">
        <v>15</v>
      </c>
      <c r="B413" s="279" t="s">
        <v>720</v>
      </c>
      <c r="C413" s="36" t="s">
        <v>7</v>
      </c>
      <c r="D413" s="13" t="s">
        <v>832</v>
      </c>
      <c r="E413" s="13" t="s">
        <v>776</v>
      </c>
      <c r="F413" s="13" t="s">
        <v>1455</v>
      </c>
      <c r="G413" s="10" t="s">
        <v>1235</v>
      </c>
      <c r="H413" s="17" t="s">
        <v>1586</v>
      </c>
      <c r="I413" s="13"/>
      <c r="J413" s="13"/>
      <c r="K413" s="258" t="s">
        <v>1033</v>
      </c>
      <c r="L413" s="23" t="s">
        <v>1034</v>
      </c>
      <c r="M413" s="259">
        <v>338</v>
      </c>
      <c r="N413" s="260" t="s">
        <v>1037</v>
      </c>
      <c r="O413" s="258" t="s">
        <v>1038</v>
      </c>
      <c r="P413" s="24">
        <v>778</v>
      </c>
      <c r="Q413" s="24" t="s">
        <v>1066</v>
      </c>
      <c r="R413" s="23" t="s">
        <v>1067</v>
      </c>
      <c r="S413" s="24">
        <v>6.3869999999999996</v>
      </c>
      <c r="T413" s="25"/>
      <c r="U413" s="25"/>
      <c r="V413" s="25"/>
    </row>
    <row r="414" spans="1:22" ht="60" x14ac:dyDescent="0.25">
      <c r="A414" s="23" t="s">
        <v>79</v>
      </c>
      <c r="B414" s="279" t="s">
        <v>721</v>
      </c>
      <c r="C414" s="19" t="s">
        <v>80</v>
      </c>
      <c r="D414" s="15" t="s">
        <v>1212</v>
      </c>
      <c r="E414" s="13" t="s">
        <v>776</v>
      </c>
      <c r="F414" s="15" t="s">
        <v>1456</v>
      </c>
      <c r="G414" s="10" t="s">
        <v>1235</v>
      </c>
      <c r="H414" s="37" t="s">
        <v>1586</v>
      </c>
      <c r="I414" s="13"/>
      <c r="J414" s="13" t="s">
        <v>797</v>
      </c>
      <c r="K414" s="25" t="s">
        <v>1039</v>
      </c>
      <c r="L414" s="49" t="s">
        <v>1308</v>
      </c>
      <c r="M414" s="259">
        <v>3200</v>
      </c>
      <c r="N414" s="258"/>
      <c r="O414" s="258"/>
      <c r="P414" s="24"/>
      <c r="Q414" s="24"/>
      <c r="R414" s="23"/>
      <c r="S414" s="24"/>
      <c r="T414" s="25"/>
      <c r="U414" s="25"/>
      <c r="V414" s="25"/>
    </row>
    <row r="415" spans="1:22" ht="60" x14ac:dyDescent="0.25">
      <c r="A415" s="31" t="s">
        <v>1701</v>
      </c>
      <c r="B415" s="279" t="s">
        <v>722</v>
      </c>
      <c r="C415" s="19" t="s">
        <v>1702</v>
      </c>
      <c r="D415" s="15" t="s">
        <v>1703</v>
      </c>
      <c r="E415" s="13" t="s">
        <v>776</v>
      </c>
      <c r="F415" s="15" t="s">
        <v>1455</v>
      </c>
      <c r="G415" s="10" t="s">
        <v>1235</v>
      </c>
      <c r="H415" s="37" t="s">
        <v>1586</v>
      </c>
      <c r="I415" s="13"/>
      <c r="J415" s="13"/>
      <c r="K415" s="258" t="s">
        <v>1033</v>
      </c>
      <c r="L415" s="23" t="s">
        <v>1034</v>
      </c>
      <c r="M415" s="259">
        <v>127</v>
      </c>
      <c r="N415" s="258"/>
      <c r="O415" s="258"/>
      <c r="P415" s="24"/>
      <c r="Q415" s="24"/>
      <c r="R415" s="23"/>
      <c r="S415" s="24"/>
      <c r="T415" s="25"/>
      <c r="U415" s="25"/>
      <c r="V415" s="25"/>
    </row>
    <row r="416" spans="1:22" ht="60" x14ac:dyDescent="0.25">
      <c r="A416" s="428" t="s">
        <v>1814</v>
      </c>
      <c r="B416" s="429"/>
      <c r="C416" s="428" t="s">
        <v>1817</v>
      </c>
      <c r="D416" s="456"/>
      <c r="E416" s="456"/>
      <c r="F416" s="456"/>
      <c r="G416" s="456"/>
      <c r="H416" s="456"/>
      <c r="I416" s="456"/>
      <c r="J416" s="456"/>
      <c r="K416" s="460"/>
      <c r="L416" s="460"/>
      <c r="M416" s="461"/>
      <c r="N416" s="462"/>
      <c r="O416" s="460"/>
      <c r="P416" s="462"/>
      <c r="Q416" s="460"/>
      <c r="R416" s="460"/>
      <c r="S416" s="462"/>
      <c r="T416" s="460"/>
      <c r="U416" s="460"/>
      <c r="V416" s="460"/>
    </row>
    <row r="417" spans="1:22" ht="156" x14ac:dyDescent="0.25">
      <c r="A417" s="23" t="s">
        <v>774</v>
      </c>
      <c r="B417" s="279" t="s">
        <v>723</v>
      </c>
      <c r="C417" s="23" t="s">
        <v>1295</v>
      </c>
      <c r="D417" s="10" t="s">
        <v>775</v>
      </c>
      <c r="E417" s="10" t="s">
        <v>776</v>
      </c>
      <c r="F417" s="10" t="s">
        <v>1446</v>
      </c>
      <c r="G417" s="10" t="s">
        <v>1235</v>
      </c>
      <c r="H417" s="24" t="s">
        <v>1586</v>
      </c>
      <c r="I417" s="29"/>
      <c r="J417" s="24"/>
      <c r="K417" s="23" t="s">
        <v>1033</v>
      </c>
      <c r="L417" s="23" t="s">
        <v>1306</v>
      </c>
      <c r="M417" s="259">
        <v>877</v>
      </c>
      <c r="N417" s="10" t="s">
        <v>1035</v>
      </c>
      <c r="O417" s="10" t="s">
        <v>1036</v>
      </c>
      <c r="P417" s="24">
        <v>2285</v>
      </c>
      <c r="Q417" s="24" t="s">
        <v>1037</v>
      </c>
      <c r="R417" s="9" t="s">
        <v>1307</v>
      </c>
      <c r="S417" s="259">
        <v>1265</v>
      </c>
      <c r="T417" s="10" t="s">
        <v>1039</v>
      </c>
      <c r="U417" s="9" t="s">
        <v>1308</v>
      </c>
      <c r="V417" s="24">
        <v>422</v>
      </c>
    </row>
    <row r="418" spans="1:22" ht="72" x14ac:dyDescent="0.25">
      <c r="A418" s="23" t="s">
        <v>777</v>
      </c>
      <c r="B418" s="279" t="s">
        <v>724</v>
      </c>
      <c r="C418" s="30" t="s">
        <v>783</v>
      </c>
      <c r="D418" s="10" t="s">
        <v>1296</v>
      </c>
      <c r="E418" s="38" t="s">
        <v>776</v>
      </c>
      <c r="F418" s="10" t="s">
        <v>1446</v>
      </c>
      <c r="G418" s="10" t="s">
        <v>1235</v>
      </c>
      <c r="H418" s="38" t="s">
        <v>1586</v>
      </c>
      <c r="I418" s="10"/>
      <c r="J418" s="38" t="s">
        <v>1297</v>
      </c>
      <c r="K418" s="25" t="s">
        <v>1035</v>
      </c>
      <c r="L418" s="23" t="s">
        <v>1036</v>
      </c>
      <c r="M418" s="259">
        <v>167</v>
      </c>
      <c r="N418" s="24"/>
      <c r="O418" s="24"/>
      <c r="P418" s="24"/>
      <c r="Q418" s="24"/>
      <c r="R418" s="26"/>
      <c r="S418" s="26"/>
      <c r="T418" s="26"/>
      <c r="U418" s="272"/>
      <c r="V418" s="272"/>
    </row>
    <row r="419" spans="1:22" ht="72" x14ac:dyDescent="0.25">
      <c r="A419" s="23" t="s">
        <v>778</v>
      </c>
      <c r="B419" s="279" t="s">
        <v>725</v>
      </c>
      <c r="C419" s="30" t="s">
        <v>1298</v>
      </c>
      <c r="D419" s="10" t="s">
        <v>1296</v>
      </c>
      <c r="E419" s="38" t="s">
        <v>776</v>
      </c>
      <c r="F419" s="10" t="s">
        <v>1446</v>
      </c>
      <c r="G419" s="10" t="s">
        <v>1235</v>
      </c>
      <c r="H419" s="38" t="s">
        <v>1586</v>
      </c>
      <c r="I419" s="10"/>
      <c r="J419" s="38" t="s">
        <v>1297</v>
      </c>
      <c r="K419" s="25" t="s">
        <v>1035</v>
      </c>
      <c r="L419" s="23" t="s">
        <v>1036</v>
      </c>
      <c r="M419" s="259">
        <v>105</v>
      </c>
      <c r="N419" s="24"/>
      <c r="O419" s="24"/>
      <c r="P419" s="24"/>
      <c r="Q419" s="24"/>
      <c r="R419" s="26"/>
      <c r="S419" s="26"/>
      <c r="T419" s="26"/>
      <c r="U419" s="272"/>
      <c r="V419" s="272"/>
    </row>
    <row r="420" spans="1:22" ht="72" x14ac:dyDescent="0.25">
      <c r="A420" s="23" t="s">
        <v>779</v>
      </c>
      <c r="B420" s="279" t="s">
        <v>726</v>
      </c>
      <c r="C420" s="30" t="s">
        <v>1299</v>
      </c>
      <c r="D420" s="10" t="s">
        <v>1296</v>
      </c>
      <c r="E420" s="38" t="s">
        <v>776</v>
      </c>
      <c r="F420" s="10" t="s">
        <v>1446</v>
      </c>
      <c r="G420" s="10" t="s">
        <v>1235</v>
      </c>
      <c r="H420" s="38" t="s">
        <v>1586</v>
      </c>
      <c r="I420" s="10"/>
      <c r="J420" s="38" t="s">
        <v>1297</v>
      </c>
      <c r="K420" s="25" t="s">
        <v>1035</v>
      </c>
      <c r="L420" s="23" t="s">
        <v>1036</v>
      </c>
      <c r="M420" s="259">
        <v>1323</v>
      </c>
      <c r="N420" s="24"/>
      <c r="O420" s="24"/>
      <c r="P420" s="24"/>
      <c r="Q420" s="24"/>
      <c r="R420" s="26"/>
      <c r="S420" s="26"/>
      <c r="T420" s="26"/>
      <c r="U420" s="272"/>
      <c r="V420" s="272"/>
    </row>
    <row r="421" spans="1:22" ht="72" x14ac:dyDescent="0.25">
      <c r="A421" s="23" t="s">
        <v>780</v>
      </c>
      <c r="B421" s="279" t="s">
        <v>727</v>
      </c>
      <c r="C421" s="30" t="s">
        <v>1300</v>
      </c>
      <c r="D421" s="10" t="s">
        <v>1296</v>
      </c>
      <c r="E421" s="38" t="s">
        <v>776</v>
      </c>
      <c r="F421" s="10" t="s">
        <v>1446</v>
      </c>
      <c r="G421" s="10" t="s">
        <v>1235</v>
      </c>
      <c r="H421" s="38" t="s">
        <v>1586</v>
      </c>
      <c r="I421" s="10"/>
      <c r="J421" s="38" t="s">
        <v>1297</v>
      </c>
      <c r="K421" s="25" t="s">
        <v>1035</v>
      </c>
      <c r="L421" s="23" t="s">
        <v>1036</v>
      </c>
      <c r="M421" s="259">
        <v>890</v>
      </c>
      <c r="N421" s="24"/>
      <c r="O421" s="24"/>
      <c r="P421" s="24"/>
      <c r="Q421" s="24"/>
      <c r="R421" s="26"/>
      <c r="S421" s="26"/>
      <c r="T421" s="26"/>
      <c r="U421" s="272"/>
      <c r="V421" s="272"/>
    </row>
    <row r="422" spans="1:22" ht="60" x14ac:dyDescent="0.25">
      <c r="A422" s="23" t="s">
        <v>781</v>
      </c>
      <c r="B422" s="279" t="s">
        <v>728</v>
      </c>
      <c r="C422" s="30" t="s">
        <v>789</v>
      </c>
      <c r="D422" s="10" t="s">
        <v>1296</v>
      </c>
      <c r="E422" s="38" t="s">
        <v>776</v>
      </c>
      <c r="F422" s="10" t="s">
        <v>1446</v>
      </c>
      <c r="G422" s="10" t="s">
        <v>1235</v>
      </c>
      <c r="H422" s="38" t="s">
        <v>1586</v>
      </c>
      <c r="I422" s="10"/>
      <c r="J422" s="38" t="s">
        <v>1297</v>
      </c>
      <c r="K422" s="23" t="s">
        <v>1033</v>
      </c>
      <c r="L422" s="23" t="s">
        <v>1306</v>
      </c>
      <c r="M422" s="259">
        <v>5</v>
      </c>
      <c r="N422" s="24" t="s">
        <v>1037</v>
      </c>
      <c r="O422" s="9" t="s">
        <v>1307</v>
      </c>
      <c r="P422" s="24">
        <v>107</v>
      </c>
      <c r="Q422" s="24"/>
      <c r="R422" s="26"/>
      <c r="S422" s="26"/>
      <c r="T422" s="26"/>
      <c r="U422" s="272"/>
      <c r="V422" s="272"/>
    </row>
    <row r="423" spans="1:22" ht="60" x14ac:dyDescent="0.25">
      <c r="A423" s="23" t="s">
        <v>782</v>
      </c>
      <c r="B423" s="279" t="s">
        <v>729</v>
      </c>
      <c r="C423" s="30" t="s">
        <v>1305</v>
      </c>
      <c r="D423" s="10" t="s">
        <v>1296</v>
      </c>
      <c r="E423" s="38" t="s">
        <v>776</v>
      </c>
      <c r="F423" s="10" t="s">
        <v>1446</v>
      </c>
      <c r="G423" s="10" t="s">
        <v>1235</v>
      </c>
      <c r="H423" s="38" t="s">
        <v>1586</v>
      </c>
      <c r="I423" s="10"/>
      <c r="J423" s="38" t="s">
        <v>1297</v>
      </c>
      <c r="K423" s="23" t="s">
        <v>1033</v>
      </c>
      <c r="L423" s="23" t="s">
        <v>1306</v>
      </c>
      <c r="M423" s="259">
        <v>0</v>
      </c>
      <c r="N423" s="24" t="s">
        <v>1037</v>
      </c>
      <c r="O423" s="9" t="s">
        <v>1307</v>
      </c>
      <c r="P423" s="24">
        <v>288</v>
      </c>
      <c r="Q423" s="24"/>
      <c r="R423" s="26"/>
      <c r="S423" s="26"/>
      <c r="T423" s="26"/>
      <c r="U423" s="272"/>
      <c r="V423" s="272"/>
    </row>
    <row r="424" spans="1:22" ht="48" x14ac:dyDescent="0.25">
      <c r="A424" s="23" t="s">
        <v>784</v>
      </c>
      <c r="B424" s="279" t="s">
        <v>730</v>
      </c>
      <c r="C424" s="30" t="s">
        <v>1301</v>
      </c>
      <c r="D424" s="10" t="s">
        <v>1296</v>
      </c>
      <c r="E424" s="38" t="s">
        <v>776</v>
      </c>
      <c r="F424" s="10" t="s">
        <v>1446</v>
      </c>
      <c r="G424" s="10" t="s">
        <v>1235</v>
      </c>
      <c r="H424" s="38" t="s">
        <v>1586</v>
      </c>
      <c r="I424" s="10"/>
      <c r="J424" s="38" t="s">
        <v>1297</v>
      </c>
      <c r="K424" s="25" t="s">
        <v>1037</v>
      </c>
      <c r="L424" s="49" t="s">
        <v>1307</v>
      </c>
      <c r="M424" s="259">
        <v>110</v>
      </c>
      <c r="N424" s="24"/>
      <c r="O424" s="9"/>
      <c r="P424" s="24"/>
      <c r="Q424" s="24"/>
      <c r="R424" s="26"/>
      <c r="S424" s="26"/>
      <c r="T424" s="26"/>
      <c r="U424" s="272"/>
      <c r="V424" s="272"/>
    </row>
    <row r="425" spans="1:22" ht="60" x14ac:dyDescent="0.25">
      <c r="A425" s="23" t="s">
        <v>785</v>
      </c>
      <c r="B425" s="279" t="s">
        <v>731</v>
      </c>
      <c r="C425" s="30" t="s">
        <v>1302</v>
      </c>
      <c r="D425" s="10" t="s">
        <v>1296</v>
      </c>
      <c r="E425" s="38" t="s">
        <v>776</v>
      </c>
      <c r="F425" s="10" t="s">
        <v>1446</v>
      </c>
      <c r="G425" s="10" t="s">
        <v>1235</v>
      </c>
      <c r="H425" s="38" t="s">
        <v>1586</v>
      </c>
      <c r="I425" s="10"/>
      <c r="J425" s="38" t="s">
        <v>1297</v>
      </c>
      <c r="K425" s="25" t="s">
        <v>1039</v>
      </c>
      <c r="L425" s="49" t="s">
        <v>1308</v>
      </c>
      <c r="M425" s="259">
        <v>468</v>
      </c>
      <c r="N425" s="24"/>
      <c r="O425" s="24"/>
      <c r="P425" s="24"/>
      <c r="Q425" s="24"/>
      <c r="R425" s="26"/>
      <c r="S425" s="26"/>
      <c r="T425" s="26"/>
      <c r="U425" s="272"/>
      <c r="V425" s="272"/>
    </row>
    <row r="426" spans="1:22" ht="60" x14ac:dyDescent="0.25">
      <c r="A426" s="23" t="s">
        <v>786</v>
      </c>
      <c r="B426" s="279" t="s">
        <v>732</v>
      </c>
      <c r="C426" s="30" t="s">
        <v>798</v>
      </c>
      <c r="D426" s="10" t="s">
        <v>1296</v>
      </c>
      <c r="E426" s="38" t="s">
        <v>776</v>
      </c>
      <c r="F426" s="10" t="s">
        <v>1446</v>
      </c>
      <c r="G426" s="10" t="s">
        <v>1235</v>
      </c>
      <c r="H426" s="38" t="s">
        <v>1586</v>
      </c>
      <c r="I426" s="10"/>
      <c r="J426" s="38" t="s">
        <v>1297</v>
      </c>
      <c r="K426" s="25" t="s">
        <v>1039</v>
      </c>
      <c r="L426" s="49" t="s">
        <v>1308</v>
      </c>
      <c r="M426" s="259">
        <v>1976</v>
      </c>
      <c r="N426" s="24"/>
      <c r="O426" s="24"/>
      <c r="P426" s="24"/>
      <c r="Q426" s="24"/>
      <c r="R426" s="26"/>
      <c r="S426" s="26"/>
      <c r="T426" s="26"/>
      <c r="U426" s="272"/>
      <c r="V426" s="272"/>
    </row>
    <row r="427" spans="1:22" ht="60" x14ac:dyDescent="0.25">
      <c r="A427" s="23" t="s">
        <v>787</v>
      </c>
      <c r="B427" s="279" t="s">
        <v>733</v>
      </c>
      <c r="C427" s="30" t="s">
        <v>1303</v>
      </c>
      <c r="D427" s="10" t="s">
        <v>1296</v>
      </c>
      <c r="E427" s="38" t="s">
        <v>776</v>
      </c>
      <c r="F427" s="10" t="s">
        <v>1446</v>
      </c>
      <c r="G427" s="10" t="s">
        <v>1235</v>
      </c>
      <c r="H427" s="38" t="s">
        <v>1586</v>
      </c>
      <c r="I427" s="10"/>
      <c r="J427" s="38" t="s">
        <v>1297</v>
      </c>
      <c r="K427" s="25" t="s">
        <v>1039</v>
      </c>
      <c r="L427" s="49" t="s">
        <v>1308</v>
      </c>
      <c r="M427" s="259">
        <v>238</v>
      </c>
      <c r="N427" s="24"/>
      <c r="O427" s="24"/>
      <c r="P427" s="24"/>
      <c r="Q427" s="24"/>
      <c r="R427" s="26"/>
      <c r="S427" s="26"/>
      <c r="T427" s="26"/>
      <c r="U427" s="272"/>
      <c r="V427" s="272"/>
    </row>
    <row r="428" spans="1:22" ht="60" x14ac:dyDescent="0.25">
      <c r="A428" s="23" t="s">
        <v>788</v>
      </c>
      <c r="B428" s="279" t="s">
        <v>734</v>
      </c>
      <c r="C428" s="30" t="s">
        <v>1304</v>
      </c>
      <c r="D428" s="10" t="s">
        <v>1296</v>
      </c>
      <c r="E428" s="38"/>
      <c r="F428" s="27" t="s">
        <v>1446</v>
      </c>
      <c r="G428" s="10" t="s">
        <v>1235</v>
      </c>
      <c r="H428" s="24" t="s">
        <v>1586</v>
      </c>
      <c r="I428" s="38"/>
      <c r="J428" s="38" t="s">
        <v>1297</v>
      </c>
      <c r="K428" s="25" t="s">
        <v>1039</v>
      </c>
      <c r="L428" s="49" t="s">
        <v>1308</v>
      </c>
      <c r="M428" s="259">
        <v>506</v>
      </c>
      <c r="N428" s="24"/>
      <c r="O428" s="24"/>
      <c r="P428" s="24"/>
      <c r="Q428" s="26"/>
      <c r="R428" s="26"/>
      <c r="S428" s="26"/>
      <c r="T428" s="26"/>
      <c r="U428" s="272"/>
      <c r="V428" s="272"/>
    </row>
    <row r="429" spans="1:22" ht="84" x14ac:dyDescent="0.25">
      <c r="A429" s="23" t="s">
        <v>790</v>
      </c>
      <c r="B429" s="279" t="s">
        <v>735</v>
      </c>
      <c r="C429" s="19" t="s">
        <v>833</v>
      </c>
      <c r="D429" s="13" t="s">
        <v>832</v>
      </c>
      <c r="E429" s="13" t="s">
        <v>776</v>
      </c>
      <c r="F429" s="13" t="s">
        <v>1455</v>
      </c>
      <c r="G429" s="9" t="s">
        <v>1235</v>
      </c>
      <c r="H429" s="17" t="s">
        <v>1586</v>
      </c>
      <c r="I429" s="13"/>
      <c r="J429" s="38" t="s">
        <v>1297</v>
      </c>
      <c r="K429" s="258" t="s">
        <v>1033</v>
      </c>
      <c r="L429" s="23" t="s">
        <v>1034</v>
      </c>
      <c r="M429" s="259">
        <v>748</v>
      </c>
      <c r="N429" s="260" t="s">
        <v>1037</v>
      </c>
      <c r="O429" s="258" t="s">
        <v>1038</v>
      </c>
      <c r="P429" s="24">
        <v>748</v>
      </c>
      <c r="Q429" s="258" t="s">
        <v>1039</v>
      </c>
      <c r="R429" s="258" t="s">
        <v>1040</v>
      </c>
      <c r="S429" s="24">
        <v>748</v>
      </c>
      <c r="T429" s="26"/>
      <c r="U429" s="272"/>
      <c r="V429" s="272"/>
    </row>
    <row r="430" spans="1:22" ht="156" x14ac:dyDescent="0.25">
      <c r="A430" s="23" t="s">
        <v>791</v>
      </c>
      <c r="B430" s="279" t="s">
        <v>736</v>
      </c>
      <c r="C430" s="30" t="s">
        <v>17</v>
      </c>
      <c r="D430" s="10" t="s">
        <v>1202</v>
      </c>
      <c r="E430" s="10" t="s">
        <v>776</v>
      </c>
      <c r="F430" s="10" t="s">
        <v>1400</v>
      </c>
      <c r="G430" s="9" t="s">
        <v>1235</v>
      </c>
      <c r="H430" s="24" t="s">
        <v>1586</v>
      </c>
      <c r="I430" s="10" t="s">
        <v>858</v>
      </c>
      <c r="J430" s="10"/>
      <c r="K430" s="25" t="s">
        <v>1066</v>
      </c>
      <c r="L430" s="23" t="s">
        <v>1067</v>
      </c>
      <c r="M430" s="259">
        <v>26.22</v>
      </c>
      <c r="N430" s="260" t="s">
        <v>1033</v>
      </c>
      <c r="O430" s="23" t="s">
        <v>1034</v>
      </c>
      <c r="P430" s="273">
        <v>1231</v>
      </c>
      <c r="Q430" s="260" t="s">
        <v>1037</v>
      </c>
      <c r="R430" s="258" t="s">
        <v>1038</v>
      </c>
      <c r="S430" s="24">
        <v>1812</v>
      </c>
      <c r="T430" s="258" t="s">
        <v>1039</v>
      </c>
      <c r="U430" s="258" t="s">
        <v>1040</v>
      </c>
      <c r="V430" s="274">
        <v>308292</v>
      </c>
    </row>
    <row r="431" spans="1:22" ht="60" x14ac:dyDescent="0.25">
      <c r="A431" s="23" t="s">
        <v>792</v>
      </c>
      <c r="B431" s="279" t="s">
        <v>737</v>
      </c>
      <c r="C431" s="23" t="s">
        <v>1211</v>
      </c>
      <c r="D431" s="10" t="s">
        <v>1212</v>
      </c>
      <c r="E431" s="10" t="s">
        <v>776</v>
      </c>
      <c r="F431" s="10" t="s">
        <v>1456</v>
      </c>
      <c r="G431" s="9" t="s">
        <v>1235</v>
      </c>
      <c r="H431" s="24" t="s">
        <v>1586</v>
      </c>
      <c r="I431" s="10"/>
      <c r="J431" s="10"/>
      <c r="K431" s="25" t="s">
        <v>1033</v>
      </c>
      <c r="L431" s="23" t="s">
        <v>1034</v>
      </c>
      <c r="M431" s="259">
        <v>359</v>
      </c>
      <c r="N431" s="24" t="s">
        <v>1037</v>
      </c>
      <c r="O431" s="23" t="s">
        <v>1038</v>
      </c>
      <c r="P431" s="24">
        <v>450</v>
      </c>
      <c r="Q431" s="25" t="s">
        <v>1066</v>
      </c>
      <c r="R431" s="23" t="s">
        <v>1232</v>
      </c>
      <c r="S431" s="24">
        <v>9.8379999999999992</v>
      </c>
      <c r="T431" s="25"/>
      <c r="U431" s="25"/>
      <c r="V431" s="25"/>
    </row>
    <row r="432" spans="1:22" ht="60" x14ac:dyDescent="0.25">
      <c r="A432" s="23" t="s">
        <v>793</v>
      </c>
      <c r="B432" s="279" t="s">
        <v>738</v>
      </c>
      <c r="C432" s="23" t="s">
        <v>81</v>
      </c>
      <c r="D432" s="10" t="s">
        <v>1206</v>
      </c>
      <c r="E432" s="10" t="s">
        <v>776</v>
      </c>
      <c r="F432" s="10" t="s">
        <v>1147</v>
      </c>
      <c r="G432" s="9" t="s">
        <v>1235</v>
      </c>
      <c r="H432" s="24" t="s">
        <v>1586</v>
      </c>
      <c r="I432" s="10"/>
      <c r="J432" s="10"/>
      <c r="K432" s="25" t="s">
        <v>1033</v>
      </c>
      <c r="L432" s="23" t="s">
        <v>1034</v>
      </c>
      <c r="M432" s="259">
        <v>55</v>
      </c>
      <c r="N432" s="24" t="s">
        <v>1037</v>
      </c>
      <c r="O432" s="23" t="s">
        <v>1038</v>
      </c>
      <c r="P432" s="24">
        <v>114</v>
      </c>
      <c r="Q432" s="25" t="s">
        <v>1066</v>
      </c>
      <c r="R432" s="23" t="s">
        <v>1232</v>
      </c>
      <c r="S432" s="24">
        <v>7.6280000000000001</v>
      </c>
      <c r="T432" s="25"/>
      <c r="U432" s="25"/>
      <c r="V432" s="25"/>
    </row>
    <row r="433" spans="1:22" ht="60" x14ac:dyDescent="0.25">
      <c r="A433" s="23" t="s">
        <v>794</v>
      </c>
      <c r="B433" s="279" t="s">
        <v>739</v>
      </c>
      <c r="C433" s="30" t="s">
        <v>97</v>
      </c>
      <c r="D433" s="10" t="s">
        <v>832</v>
      </c>
      <c r="E433" s="10" t="s">
        <v>776</v>
      </c>
      <c r="F433" s="10" t="s">
        <v>1455</v>
      </c>
      <c r="G433" s="9" t="s">
        <v>125</v>
      </c>
      <c r="H433" s="24" t="s">
        <v>1592</v>
      </c>
      <c r="I433" s="10"/>
      <c r="J433" s="10"/>
      <c r="K433" s="25" t="s">
        <v>1033</v>
      </c>
      <c r="L433" s="23" t="s">
        <v>129</v>
      </c>
      <c r="M433" s="259">
        <v>131</v>
      </c>
      <c r="N433" s="24" t="s">
        <v>1037</v>
      </c>
      <c r="O433" s="23" t="s">
        <v>1038</v>
      </c>
      <c r="P433" s="24">
        <v>479</v>
      </c>
      <c r="Q433" s="25"/>
      <c r="R433" s="23"/>
      <c r="S433" s="24"/>
      <c r="T433" s="25"/>
      <c r="U433" s="25"/>
      <c r="V433" s="25"/>
    </row>
    <row r="434" spans="1:22" ht="183.75" customHeight="1" x14ac:dyDescent="0.25">
      <c r="A434" s="23" t="s">
        <v>795</v>
      </c>
      <c r="B434" s="279" t="s">
        <v>740</v>
      </c>
      <c r="C434" s="30" t="s">
        <v>11</v>
      </c>
      <c r="D434" s="10" t="s">
        <v>12</v>
      </c>
      <c r="E434" s="10" t="s">
        <v>776</v>
      </c>
      <c r="F434" s="10" t="s">
        <v>1441</v>
      </c>
      <c r="G434" s="9" t="s">
        <v>1235</v>
      </c>
      <c r="H434" s="24" t="s">
        <v>1586</v>
      </c>
      <c r="I434" s="10"/>
      <c r="J434" s="10"/>
      <c r="K434" s="25" t="s">
        <v>1033</v>
      </c>
      <c r="L434" s="23" t="s">
        <v>1034</v>
      </c>
      <c r="M434" s="259">
        <v>672</v>
      </c>
      <c r="N434" s="24" t="s">
        <v>1037</v>
      </c>
      <c r="O434" s="23" t="s">
        <v>1038</v>
      </c>
      <c r="P434" s="24">
        <v>744</v>
      </c>
      <c r="Q434" s="25" t="s">
        <v>1039</v>
      </c>
      <c r="R434" s="258" t="s">
        <v>1040</v>
      </c>
      <c r="S434" s="24">
        <v>425</v>
      </c>
      <c r="T434" s="25" t="s">
        <v>1066</v>
      </c>
      <c r="U434" s="23" t="s">
        <v>1232</v>
      </c>
      <c r="V434" s="25">
        <v>7.62</v>
      </c>
    </row>
    <row r="435" spans="1:22" ht="183.75" customHeight="1" x14ac:dyDescent="0.25">
      <c r="A435" s="23" t="s">
        <v>796</v>
      </c>
      <c r="B435" s="279" t="s">
        <v>741</v>
      </c>
      <c r="C435" s="30" t="s">
        <v>16</v>
      </c>
      <c r="D435" s="10" t="s">
        <v>812</v>
      </c>
      <c r="E435" s="10" t="s">
        <v>776</v>
      </c>
      <c r="F435" s="10" t="s">
        <v>1454</v>
      </c>
      <c r="G435" s="9" t="s">
        <v>1235</v>
      </c>
      <c r="H435" s="24" t="s">
        <v>1586</v>
      </c>
      <c r="I435" s="10"/>
      <c r="J435" s="10"/>
      <c r="K435" s="25" t="s">
        <v>1066</v>
      </c>
      <c r="L435" s="23" t="s">
        <v>1232</v>
      </c>
      <c r="M435" s="259">
        <v>8.1890000000000001</v>
      </c>
      <c r="N435" s="24" t="s">
        <v>1037</v>
      </c>
      <c r="O435" s="23" t="s">
        <v>1038</v>
      </c>
      <c r="P435" s="24">
        <v>536</v>
      </c>
      <c r="Q435" s="25"/>
      <c r="R435" s="258"/>
      <c r="S435" s="24"/>
      <c r="T435" s="25"/>
      <c r="U435" s="23"/>
      <c r="V435" s="25"/>
    </row>
    <row r="436" spans="1:22" ht="84" x14ac:dyDescent="0.25">
      <c r="A436" s="23" t="s">
        <v>1309</v>
      </c>
      <c r="B436" s="279" t="s">
        <v>742</v>
      </c>
      <c r="C436" s="23" t="s">
        <v>1311</v>
      </c>
      <c r="D436" s="10" t="s">
        <v>1310</v>
      </c>
      <c r="E436" s="10" t="s">
        <v>776</v>
      </c>
      <c r="F436" s="10" t="s">
        <v>1436</v>
      </c>
      <c r="G436" s="9" t="s">
        <v>1235</v>
      </c>
      <c r="H436" s="24" t="s">
        <v>1586</v>
      </c>
      <c r="I436" s="10"/>
      <c r="J436" s="10"/>
      <c r="K436" s="23" t="s">
        <v>1033</v>
      </c>
      <c r="L436" s="23" t="s">
        <v>1306</v>
      </c>
      <c r="M436" s="275">
        <v>332</v>
      </c>
      <c r="N436" s="10" t="s">
        <v>1037</v>
      </c>
      <c r="O436" s="10" t="s">
        <v>1038</v>
      </c>
      <c r="P436" s="10">
        <v>551</v>
      </c>
      <c r="Q436" s="10" t="s">
        <v>1039</v>
      </c>
      <c r="R436" s="10" t="s">
        <v>1312</v>
      </c>
      <c r="S436" s="10">
        <v>285</v>
      </c>
      <c r="T436" s="10" t="s">
        <v>1066</v>
      </c>
      <c r="U436" s="260" t="s">
        <v>1067</v>
      </c>
      <c r="V436" s="10">
        <v>4.508</v>
      </c>
    </row>
    <row r="437" spans="1:22" ht="72" x14ac:dyDescent="0.25">
      <c r="A437" s="23" t="s">
        <v>82</v>
      </c>
      <c r="B437" s="279" t="s">
        <v>743</v>
      </c>
      <c r="C437" s="23" t="s">
        <v>83</v>
      </c>
      <c r="D437" s="10" t="s">
        <v>1212</v>
      </c>
      <c r="E437" s="10" t="s">
        <v>776</v>
      </c>
      <c r="F437" s="10" t="s">
        <v>1456</v>
      </c>
      <c r="G437" s="9" t="s">
        <v>1235</v>
      </c>
      <c r="H437" s="24" t="s">
        <v>1586</v>
      </c>
      <c r="I437" s="10"/>
      <c r="J437" s="10" t="s">
        <v>797</v>
      </c>
      <c r="K437" s="25" t="s">
        <v>1035</v>
      </c>
      <c r="L437" s="23" t="s">
        <v>1036</v>
      </c>
      <c r="M437" s="275">
        <v>7452</v>
      </c>
      <c r="N437" s="23"/>
      <c r="O437" s="23"/>
      <c r="P437" s="10"/>
      <c r="Q437" s="10"/>
      <c r="R437" s="10"/>
      <c r="S437" s="10"/>
      <c r="T437" s="10"/>
      <c r="U437" s="260"/>
      <c r="V437" s="10"/>
    </row>
    <row r="438" spans="1:22" ht="72" x14ac:dyDescent="0.25">
      <c r="A438" s="23" t="s">
        <v>84</v>
      </c>
      <c r="B438" s="279" t="s">
        <v>744</v>
      </c>
      <c r="C438" s="23" t="s">
        <v>85</v>
      </c>
      <c r="D438" s="10" t="s">
        <v>1212</v>
      </c>
      <c r="E438" s="10" t="s">
        <v>776</v>
      </c>
      <c r="F438" s="10" t="s">
        <v>1456</v>
      </c>
      <c r="G438" s="9" t="s">
        <v>1235</v>
      </c>
      <c r="H438" s="24" t="s">
        <v>1586</v>
      </c>
      <c r="I438" s="10"/>
      <c r="J438" s="10" t="s">
        <v>797</v>
      </c>
      <c r="K438" s="25" t="s">
        <v>1035</v>
      </c>
      <c r="L438" s="23" t="s">
        <v>1036</v>
      </c>
      <c r="M438" s="275">
        <v>400</v>
      </c>
      <c r="N438" s="23"/>
      <c r="O438" s="23"/>
      <c r="P438" s="10"/>
      <c r="Q438" s="10"/>
      <c r="R438" s="10"/>
      <c r="S438" s="10"/>
      <c r="T438" s="10"/>
      <c r="U438" s="260"/>
      <c r="V438" s="10"/>
    </row>
    <row r="439" spans="1:22" ht="60" x14ac:dyDescent="0.25">
      <c r="A439" s="23" t="s">
        <v>86</v>
      </c>
      <c r="B439" s="279" t="s">
        <v>745</v>
      </c>
      <c r="C439" s="23" t="s">
        <v>87</v>
      </c>
      <c r="D439" s="10" t="s">
        <v>1212</v>
      </c>
      <c r="E439" s="10" t="s">
        <v>776</v>
      </c>
      <c r="F439" s="10" t="s">
        <v>1456</v>
      </c>
      <c r="G439" s="9" t="s">
        <v>1235</v>
      </c>
      <c r="H439" s="24" t="s">
        <v>1586</v>
      </c>
      <c r="I439" s="10"/>
      <c r="J439" s="10" t="s">
        <v>797</v>
      </c>
      <c r="K439" s="258" t="s">
        <v>1039</v>
      </c>
      <c r="L439" s="258" t="s">
        <v>1040</v>
      </c>
      <c r="M439" s="275">
        <v>400</v>
      </c>
      <c r="N439" s="23"/>
      <c r="O439" s="23"/>
      <c r="P439" s="10"/>
      <c r="Q439" s="10"/>
      <c r="R439" s="10"/>
      <c r="S439" s="10"/>
      <c r="T439" s="10"/>
      <c r="U439" s="260"/>
      <c r="V439" s="10"/>
    </row>
    <row r="440" spans="1:22" ht="60" x14ac:dyDescent="0.25">
      <c r="A440" s="23" t="s">
        <v>98</v>
      </c>
      <c r="B440" s="279" t="s">
        <v>746</v>
      </c>
      <c r="C440" s="30" t="s">
        <v>99</v>
      </c>
      <c r="D440" s="11" t="s">
        <v>832</v>
      </c>
      <c r="E440" s="11" t="s">
        <v>776</v>
      </c>
      <c r="F440" s="11" t="s">
        <v>1455</v>
      </c>
      <c r="G440" s="14" t="s">
        <v>125</v>
      </c>
      <c r="H440" s="22" t="s">
        <v>1592</v>
      </c>
      <c r="I440" s="10"/>
      <c r="J440" s="10"/>
      <c r="K440" s="23" t="s">
        <v>1033</v>
      </c>
      <c r="L440" s="23" t="s">
        <v>1306</v>
      </c>
      <c r="M440" s="275">
        <v>725</v>
      </c>
      <c r="N440" s="24" t="s">
        <v>1037</v>
      </c>
      <c r="O440" s="23" t="s">
        <v>1038</v>
      </c>
      <c r="P440" s="10">
        <v>1012</v>
      </c>
      <c r="Q440" s="10" t="s">
        <v>1066</v>
      </c>
      <c r="R440" s="260" t="s">
        <v>1067</v>
      </c>
      <c r="S440" s="10">
        <v>30.26</v>
      </c>
      <c r="T440" s="10"/>
      <c r="U440" s="260"/>
      <c r="V440" s="10"/>
    </row>
    <row r="441" spans="1:22" ht="48" x14ac:dyDescent="0.25">
      <c r="A441" s="428" t="s">
        <v>1815</v>
      </c>
      <c r="B441" s="429"/>
      <c r="C441" s="428" t="s">
        <v>1818</v>
      </c>
      <c r="D441" s="456"/>
      <c r="E441" s="456"/>
      <c r="F441" s="456"/>
      <c r="G441" s="456"/>
      <c r="H441" s="456"/>
      <c r="I441" s="456"/>
      <c r="J441" s="456"/>
      <c r="K441" s="460"/>
      <c r="L441" s="460"/>
      <c r="M441" s="461"/>
      <c r="N441" s="462"/>
      <c r="O441" s="460"/>
      <c r="P441" s="462"/>
      <c r="Q441" s="460"/>
      <c r="R441" s="460"/>
      <c r="S441" s="462"/>
      <c r="T441" s="460"/>
      <c r="U441" s="460"/>
      <c r="V441" s="460"/>
    </row>
    <row r="442" spans="1:22" ht="48" x14ac:dyDescent="0.25">
      <c r="A442" s="43" t="s">
        <v>1663</v>
      </c>
      <c r="B442" s="46"/>
      <c r="C442" s="43" t="s">
        <v>1666</v>
      </c>
      <c r="D442" s="98"/>
      <c r="E442" s="98"/>
      <c r="F442" s="98"/>
      <c r="G442" s="98"/>
      <c r="H442" s="98"/>
      <c r="I442" s="98"/>
      <c r="J442" s="98"/>
      <c r="K442" s="106"/>
      <c r="L442" s="106"/>
      <c r="M442" s="257"/>
      <c r="N442" s="105"/>
      <c r="O442" s="106"/>
      <c r="P442" s="105"/>
      <c r="Q442" s="106"/>
      <c r="R442" s="106"/>
      <c r="S442" s="105"/>
      <c r="T442" s="106"/>
      <c r="U442" s="106"/>
      <c r="V442" s="106"/>
    </row>
    <row r="443" spans="1:22" ht="24" x14ac:dyDescent="0.25">
      <c r="A443" s="428" t="s">
        <v>1819</v>
      </c>
      <c r="B443" s="429"/>
      <c r="C443" s="428" t="s">
        <v>1824</v>
      </c>
      <c r="D443" s="456"/>
      <c r="E443" s="456"/>
      <c r="F443" s="456"/>
      <c r="G443" s="456"/>
      <c r="H443" s="456"/>
      <c r="I443" s="456"/>
      <c r="J443" s="456"/>
      <c r="K443" s="460"/>
      <c r="L443" s="460"/>
      <c r="M443" s="461"/>
      <c r="N443" s="462"/>
      <c r="O443" s="460"/>
      <c r="P443" s="462"/>
      <c r="Q443" s="460"/>
      <c r="R443" s="460"/>
      <c r="S443" s="462"/>
      <c r="T443" s="460"/>
      <c r="U443" s="460"/>
      <c r="V443" s="460"/>
    </row>
    <row r="444" spans="1:22" ht="132" x14ac:dyDescent="0.25">
      <c r="A444" s="457" t="s">
        <v>1243</v>
      </c>
      <c r="B444" s="429"/>
      <c r="C444" s="428" t="s">
        <v>1825</v>
      </c>
      <c r="D444" s="456"/>
      <c r="E444" s="456"/>
      <c r="F444" s="456"/>
      <c r="G444" s="456"/>
      <c r="H444" s="456"/>
      <c r="I444" s="456"/>
      <c r="J444" s="456"/>
      <c r="K444" s="460"/>
      <c r="L444" s="460"/>
      <c r="M444" s="461"/>
      <c r="N444" s="462"/>
      <c r="O444" s="460"/>
      <c r="P444" s="462"/>
      <c r="Q444" s="460"/>
      <c r="R444" s="460"/>
      <c r="S444" s="462"/>
      <c r="T444" s="460"/>
      <c r="U444" s="460"/>
      <c r="V444" s="460"/>
    </row>
    <row r="445" spans="1:22" ht="60" x14ac:dyDescent="0.25">
      <c r="A445" s="23" t="s">
        <v>834</v>
      </c>
      <c r="B445" s="279" t="s">
        <v>747</v>
      </c>
      <c r="C445" s="19" t="s">
        <v>835</v>
      </c>
      <c r="D445" s="13" t="s">
        <v>836</v>
      </c>
      <c r="E445" s="13" t="s">
        <v>837</v>
      </c>
      <c r="F445" s="13" t="s">
        <v>1455</v>
      </c>
      <c r="G445" s="13" t="s">
        <v>105</v>
      </c>
      <c r="H445" s="17"/>
      <c r="I445" s="13"/>
      <c r="J445" s="13"/>
      <c r="K445" s="23" t="s">
        <v>104</v>
      </c>
      <c r="L445" s="23" t="s">
        <v>1171</v>
      </c>
      <c r="M445" s="259">
        <v>2</v>
      </c>
      <c r="N445" s="24"/>
      <c r="O445" s="25"/>
      <c r="P445" s="24"/>
      <c r="Q445" s="25"/>
      <c r="R445" s="25"/>
      <c r="S445" s="24"/>
      <c r="T445" s="25"/>
      <c r="U445" s="25"/>
      <c r="V445" s="25"/>
    </row>
    <row r="446" spans="1:22" ht="36" x14ac:dyDescent="0.25">
      <c r="A446" s="23" t="s">
        <v>934</v>
      </c>
      <c r="B446" s="279" t="s">
        <v>748</v>
      </c>
      <c r="C446" s="19" t="s">
        <v>839</v>
      </c>
      <c r="D446" s="13" t="s">
        <v>836</v>
      </c>
      <c r="E446" s="13" t="s">
        <v>837</v>
      </c>
      <c r="F446" s="13" t="s">
        <v>1455</v>
      </c>
      <c r="G446" s="13" t="s">
        <v>105</v>
      </c>
      <c r="H446" s="17"/>
      <c r="I446" s="13"/>
      <c r="J446" s="13"/>
      <c r="K446" s="23" t="s">
        <v>1178</v>
      </c>
      <c r="L446" s="23" t="s">
        <v>1179</v>
      </c>
      <c r="M446" s="259">
        <v>1</v>
      </c>
      <c r="N446" s="24"/>
      <c r="O446" s="25"/>
      <c r="P446" s="24"/>
      <c r="Q446" s="25"/>
      <c r="R446" s="25"/>
      <c r="S446" s="24"/>
      <c r="T446" s="25"/>
      <c r="U446" s="25"/>
      <c r="V446" s="25"/>
    </row>
    <row r="447" spans="1:22" ht="60" x14ac:dyDescent="0.25">
      <c r="A447" s="57" t="s">
        <v>838</v>
      </c>
      <c r="B447" s="279" t="s">
        <v>1846</v>
      </c>
      <c r="C447" s="40" t="s">
        <v>841</v>
      </c>
      <c r="D447" s="13" t="s">
        <v>842</v>
      </c>
      <c r="E447" s="13" t="s">
        <v>776</v>
      </c>
      <c r="F447" s="13" t="s">
        <v>1455</v>
      </c>
      <c r="G447" s="17" t="s">
        <v>843</v>
      </c>
      <c r="H447" s="17" t="s">
        <v>1586</v>
      </c>
      <c r="I447" s="13"/>
      <c r="J447" s="13"/>
      <c r="K447" s="23" t="s">
        <v>1178</v>
      </c>
      <c r="L447" s="23" t="s">
        <v>1180</v>
      </c>
      <c r="M447" s="259">
        <v>1</v>
      </c>
      <c r="N447" s="24"/>
      <c r="O447" s="25"/>
      <c r="P447" s="24"/>
      <c r="Q447" s="25"/>
      <c r="R447" s="25"/>
      <c r="S447" s="24"/>
      <c r="T447" s="25"/>
      <c r="U447" s="25"/>
      <c r="V447" s="25"/>
    </row>
    <row r="448" spans="1:22" ht="60" x14ac:dyDescent="0.25">
      <c r="A448" s="57" t="s">
        <v>840</v>
      </c>
      <c r="B448" s="279" t="s">
        <v>749</v>
      </c>
      <c r="C448" s="40" t="s">
        <v>1224</v>
      </c>
      <c r="D448" s="13" t="s">
        <v>1226</v>
      </c>
      <c r="E448" s="13" t="s">
        <v>776</v>
      </c>
      <c r="F448" s="13" t="s">
        <v>1455</v>
      </c>
      <c r="G448" s="17" t="s">
        <v>843</v>
      </c>
      <c r="H448" s="17"/>
      <c r="I448" s="13"/>
      <c r="J448" s="13"/>
      <c r="K448" s="23" t="s">
        <v>1178</v>
      </c>
      <c r="L448" s="23" t="s">
        <v>1180</v>
      </c>
      <c r="M448" s="259">
        <v>1</v>
      </c>
      <c r="N448" s="24"/>
      <c r="O448" s="25"/>
      <c r="P448" s="24"/>
      <c r="Q448" s="25"/>
      <c r="R448" s="25"/>
      <c r="S448" s="24"/>
      <c r="T448" s="25"/>
      <c r="U448" s="25"/>
      <c r="V448" s="25"/>
    </row>
    <row r="449" spans="1:22" ht="60" x14ac:dyDescent="0.25">
      <c r="A449" s="57" t="s">
        <v>935</v>
      </c>
      <c r="B449" s="279" t="s">
        <v>750</v>
      </c>
      <c r="C449" s="40" t="s">
        <v>1225</v>
      </c>
      <c r="D449" s="13" t="s">
        <v>1227</v>
      </c>
      <c r="E449" s="13" t="s">
        <v>776</v>
      </c>
      <c r="F449" s="13" t="s">
        <v>1455</v>
      </c>
      <c r="G449" s="17" t="s">
        <v>843</v>
      </c>
      <c r="H449" s="17"/>
      <c r="I449" s="13"/>
      <c r="J449" s="13"/>
      <c r="K449" s="23" t="s">
        <v>1178</v>
      </c>
      <c r="L449" s="23" t="s">
        <v>1180</v>
      </c>
      <c r="M449" s="259">
        <v>1</v>
      </c>
      <c r="N449" s="24"/>
      <c r="O449" s="25"/>
      <c r="P449" s="24"/>
      <c r="Q449" s="25"/>
      <c r="R449" s="25"/>
      <c r="S449" s="24"/>
      <c r="T449" s="25"/>
      <c r="U449" s="25"/>
      <c r="V449" s="25"/>
    </row>
    <row r="450" spans="1:22" ht="36" x14ac:dyDescent="0.25">
      <c r="A450" s="57" t="s">
        <v>1463</v>
      </c>
      <c r="B450" s="279" t="s">
        <v>751</v>
      </c>
      <c r="C450" s="30" t="s">
        <v>1229</v>
      </c>
      <c r="D450" s="10" t="s">
        <v>836</v>
      </c>
      <c r="E450" s="10" t="s">
        <v>776</v>
      </c>
      <c r="F450" s="10" t="s">
        <v>1455</v>
      </c>
      <c r="G450" s="17" t="s">
        <v>843</v>
      </c>
      <c r="H450" s="17"/>
      <c r="I450" s="10"/>
      <c r="J450" s="10"/>
      <c r="K450" s="25" t="s">
        <v>1178</v>
      </c>
      <c r="L450" s="23" t="s">
        <v>1180</v>
      </c>
      <c r="M450" s="259">
        <v>1</v>
      </c>
      <c r="N450" s="24"/>
      <c r="O450" s="25"/>
      <c r="P450" s="24"/>
      <c r="Q450" s="25"/>
      <c r="R450" s="25"/>
      <c r="S450" s="24"/>
      <c r="T450" s="25"/>
      <c r="U450" s="25"/>
      <c r="V450" s="25"/>
    </row>
    <row r="451" spans="1:22" ht="72" x14ac:dyDescent="0.25">
      <c r="A451" s="428" t="s">
        <v>1821</v>
      </c>
      <c r="B451" s="429"/>
      <c r="C451" s="428" t="s">
        <v>1826</v>
      </c>
      <c r="D451" s="456"/>
      <c r="E451" s="456"/>
      <c r="F451" s="456"/>
      <c r="G451" s="456"/>
      <c r="H451" s="456"/>
      <c r="I451" s="456"/>
      <c r="J451" s="456"/>
      <c r="K451" s="460"/>
      <c r="L451" s="460"/>
      <c r="M451" s="461"/>
      <c r="N451" s="462"/>
      <c r="O451" s="460"/>
      <c r="P451" s="462"/>
      <c r="Q451" s="460"/>
      <c r="R451" s="460"/>
      <c r="S451" s="462"/>
      <c r="T451" s="460"/>
      <c r="U451" s="460"/>
      <c r="V451" s="460"/>
    </row>
    <row r="452" spans="1:22" ht="36" x14ac:dyDescent="0.25">
      <c r="A452" s="49" t="s">
        <v>936</v>
      </c>
      <c r="B452" s="279" t="s">
        <v>752</v>
      </c>
      <c r="C452" s="23" t="s">
        <v>870</v>
      </c>
      <c r="D452" s="10" t="s">
        <v>850</v>
      </c>
      <c r="E452" s="10" t="s">
        <v>1591</v>
      </c>
      <c r="F452" s="10" t="s">
        <v>1400</v>
      </c>
      <c r="G452" s="9" t="s">
        <v>1422</v>
      </c>
      <c r="H452" s="10" t="s">
        <v>1592</v>
      </c>
      <c r="I452" s="10" t="s">
        <v>858</v>
      </c>
      <c r="J452" s="10"/>
      <c r="K452" s="25" t="s">
        <v>1061</v>
      </c>
      <c r="L452" s="23" t="s">
        <v>1062</v>
      </c>
      <c r="M452" s="259">
        <v>24</v>
      </c>
      <c r="N452" s="24"/>
      <c r="O452" s="25"/>
      <c r="P452" s="24"/>
      <c r="Q452" s="25"/>
      <c r="R452" s="25"/>
      <c r="S452" s="24"/>
      <c r="T452" s="25"/>
      <c r="U452" s="25"/>
      <c r="V452" s="25"/>
    </row>
    <row r="453" spans="1:22" ht="108" x14ac:dyDescent="0.25">
      <c r="A453" s="428" t="s">
        <v>1822</v>
      </c>
      <c r="B453" s="429"/>
      <c r="C453" s="428" t="s">
        <v>1827</v>
      </c>
      <c r="D453" s="456"/>
      <c r="E453" s="456"/>
      <c r="F453" s="456"/>
      <c r="G453" s="456"/>
      <c r="H453" s="456"/>
      <c r="I453" s="456"/>
      <c r="J453" s="456"/>
      <c r="K453" s="460"/>
      <c r="L453" s="460"/>
      <c r="M453" s="461"/>
      <c r="N453" s="462"/>
      <c r="O453" s="460"/>
      <c r="P453" s="462"/>
      <c r="Q453" s="460"/>
      <c r="R453" s="460"/>
      <c r="S453" s="462"/>
      <c r="T453" s="460"/>
      <c r="U453" s="460"/>
      <c r="V453" s="460"/>
    </row>
    <row r="454" spans="1:22" ht="48" x14ac:dyDescent="0.25">
      <c r="A454" s="428" t="s">
        <v>1823</v>
      </c>
      <c r="B454" s="429"/>
      <c r="C454" s="428" t="s">
        <v>1828</v>
      </c>
      <c r="D454" s="456"/>
      <c r="E454" s="456"/>
      <c r="F454" s="456"/>
      <c r="G454" s="456"/>
      <c r="H454" s="456"/>
      <c r="I454" s="456"/>
      <c r="J454" s="456"/>
      <c r="K454" s="460"/>
      <c r="L454" s="460"/>
      <c r="M454" s="461"/>
      <c r="N454" s="462"/>
      <c r="O454" s="460"/>
      <c r="P454" s="462"/>
      <c r="Q454" s="460"/>
      <c r="R454" s="460"/>
      <c r="S454" s="462"/>
      <c r="T454" s="460"/>
      <c r="U454" s="460"/>
      <c r="V454" s="460"/>
    </row>
    <row r="455" spans="1:22" ht="48" x14ac:dyDescent="0.25">
      <c r="A455" s="43" t="s">
        <v>1664</v>
      </c>
      <c r="B455" s="46"/>
      <c r="C455" s="43" t="s">
        <v>1667</v>
      </c>
      <c r="D455" s="98"/>
      <c r="E455" s="98"/>
      <c r="F455" s="98"/>
      <c r="G455" s="98"/>
      <c r="H455" s="98"/>
      <c r="I455" s="98"/>
      <c r="J455" s="98"/>
      <c r="K455" s="106"/>
      <c r="L455" s="106"/>
      <c r="M455" s="257"/>
      <c r="N455" s="105"/>
      <c r="O455" s="106"/>
      <c r="P455" s="105"/>
      <c r="Q455" s="106"/>
      <c r="R455" s="106"/>
      <c r="S455" s="105"/>
      <c r="T455" s="106"/>
      <c r="U455" s="106"/>
      <c r="V455" s="106"/>
    </row>
    <row r="456" spans="1:22" ht="72" x14ac:dyDescent="0.25">
      <c r="A456" s="428" t="s">
        <v>1829</v>
      </c>
      <c r="B456" s="429"/>
      <c r="C456" s="428" t="s">
        <v>1837</v>
      </c>
      <c r="D456" s="456"/>
      <c r="E456" s="456"/>
      <c r="F456" s="456"/>
      <c r="G456" s="456"/>
      <c r="H456" s="456"/>
      <c r="I456" s="456"/>
      <c r="J456" s="456"/>
      <c r="K456" s="460"/>
      <c r="L456" s="460"/>
      <c r="M456" s="461"/>
      <c r="N456" s="462"/>
      <c r="O456" s="460"/>
      <c r="P456" s="462"/>
      <c r="Q456" s="460"/>
      <c r="R456" s="460"/>
      <c r="S456" s="462"/>
      <c r="T456" s="460"/>
      <c r="U456" s="460"/>
      <c r="V456" s="460"/>
    </row>
    <row r="457" spans="1:22" ht="72" x14ac:dyDescent="0.25">
      <c r="A457" s="428" t="s">
        <v>1830</v>
      </c>
      <c r="B457" s="429"/>
      <c r="C457" s="428" t="s">
        <v>1838</v>
      </c>
      <c r="D457" s="456"/>
      <c r="E457" s="456"/>
      <c r="F457" s="456"/>
      <c r="G457" s="456"/>
      <c r="H457" s="456"/>
      <c r="I457" s="456"/>
      <c r="J457" s="456"/>
      <c r="K457" s="460"/>
      <c r="L457" s="460"/>
      <c r="M457" s="461"/>
      <c r="N457" s="462"/>
      <c r="O457" s="460"/>
      <c r="P457" s="462"/>
      <c r="Q457" s="460"/>
      <c r="R457" s="460"/>
      <c r="S457" s="462"/>
      <c r="T457" s="460"/>
      <c r="U457" s="460"/>
      <c r="V457" s="460"/>
    </row>
    <row r="458" spans="1:22" ht="48" x14ac:dyDescent="0.25">
      <c r="A458" s="23" t="s">
        <v>799</v>
      </c>
      <c r="B458" s="279" t="s">
        <v>753</v>
      </c>
      <c r="C458" s="19" t="s">
        <v>844</v>
      </c>
      <c r="D458" s="13" t="s">
        <v>1443</v>
      </c>
      <c r="E458" s="15" t="s">
        <v>845</v>
      </c>
      <c r="F458" s="15" t="s">
        <v>1455</v>
      </c>
      <c r="G458" s="69" t="s">
        <v>1386</v>
      </c>
      <c r="H458" s="17" t="s">
        <v>1586</v>
      </c>
      <c r="I458" s="13"/>
      <c r="J458" s="13"/>
      <c r="K458" s="23" t="s">
        <v>1043</v>
      </c>
      <c r="L458" s="23" t="s">
        <v>1044</v>
      </c>
      <c r="M458" s="259">
        <v>27</v>
      </c>
      <c r="N458" s="24" t="s">
        <v>1249</v>
      </c>
      <c r="O458" s="23" t="s">
        <v>1392</v>
      </c>
      <c r="P458" s="24">
        <v>4.5599999999999996</v>
      </c>
      <c r="Q458" s="25"/>
      <c r="R458" s="25"/>
      <c r="S458" s="24"/>
      <c r="T458" s="25"/>
      <c r="U458" s="25"/>
      <c r="V458" s="25"/>
    </row>
    <row r="459" spans="1:22" ht="48" x14ac:dyDescent="0.25">
      <c r="A459" s="23" t="s">
        <v>800</v>
      </c>
      <c r="B459" s="279" t="s">
        <v>754</v>
      </c>
      <c r="C459" s="251" t="s">
        <v>1476</v>
      </c>
      <c r="D459" s="13" t="s">
        <v>1443</v>
      </c>
      <c r="E459" s="15" t="s">
        <v>845</v>
      </c>
      <c r="F459" s="15" t="s">
        <v>1455</v>
      </c>
      <c r="G459" s="27" t="s">
        <v>1338</v>
      </c>
      <c r="H459" s="17" t="s">
        <v>1592</v>
      </c>
      <c r="I459" s="13"/>
      <c r="J459" s="13"/>
      <c r="K459" s="23" t="s">
        <v>126</v>
      </c>
      <c r="L459" s="23" t="s">
        <v>1393</v>
      </c>
      <c r="M459" s="259">
        <v>0.4</v>
      </c>
      <c r="N459" s="24" t="s">
        <v>1394</v>
      </c>
      <c r="O459" s="23" t="s">
        <v>1395</v>
      </c>
      <c r="P459" s="24">
        <v>1</v>
      </c>
      <c r="Q459" s="25"/>
      <c r="R459" s="25"/>
      <c r="S459" s="24"/>
      <c r="T459" s="25"/>
      <c r="U459" s="25"/>
      <c r="V459" s="25"/>
    </row>
    <row r="460" spans="1:22" ht="96" x14ac:dyDescent="0.25">
      <c r="A460" s="23" t="s">
        <v>937</v>
      </c>
      <c r="B460" s="279" t="s">
        <v>755</v>
      </c>
      <c r="C460" s="36" t="s">
        <v>1464</v>
      </c>
      <c r="D460" s="13" t="s">
        <v>1580</v>
      </c>
      <c r="E460" s="15" t="s">
        <v>776</v>
      </c>
      <c r="F460" s="15" t="s">
        <v>1456</v>
      </c>
      <c r="G460" s="27" t="s">
        <v>1338</v>
      </c>
      <c r="H460" s="37" t="s">
        <v>1592</v>
      </c>
      <c r="I460" s="29"/>
      <c r="J460" s="29"/>
      <c r="K460" s="23" t="s">
        <v>126</v>
      </c>
      <c r="L460" s="23" t="s">
        <v>1393</v>
      </c>
      <c r="M460" s="259">
        <v>0.31</v>
      </c>
      <c r="N460" s="24" t="s">
        <v>1394</v>
      </c>
      <c r="O460" s="23" t="s">
        <v>1395</v>
      </c>
      <c r="P460" s="24">
        <v>2</v>
      </c>
      <c r="Q460" s="25"/>
      <c r="R460" s="25"/>
      <c r="S460" s="24"/>
      <c r="T460" s="25"/>
      <c r="U460" s="25"/>
      <c r="V460" s="25"/>
    </row>
    <row r="461" spans="1:22" ht="97.5" customHeight="1" x14ac:dyDescent="0.25">
      <c r="A461" s="23" t="s">
        <v>938</v>
      </c>
      <c r="B461" s="279" t="s">
        <v>756</v>
      </c>
      <c r="C461" s="36" t="s">
        <v>1442</v>
      </c>
      <c r="D461" s="13" t="s">
        <v>1590</v>
      </c>
      <c r="E461" s="15" t="s">
        <v>776</v>
      </c>
      <c r="F461" s="15" t="s">
        <v>1446</v>
      </c>
      <c r="G461" s="27" t="s">
        <v>1338</v>
      </c>
      <c r="H461" s="37" t="s">
        <v>1592</v>
      </c>
      <c r="I461" s="29"/>
      <c r="J461" s="29"/>
      <c r="K461" s="23" t="s">
        <v>126</v>
      </c>
      <c r="L461" s="23" t="s">
        <v>1393</v>
      </c>
      <c r="M461" s="259">
        <v>8.2600000000000007E-2</v>
      </c>
      <c r="N461" s="24" t="s">
        <v>1394</v>
      </c>
      <c r="O461" s="23" t="s">
        <v>1395</v>
      </c>
      <c r="P461" s="24">
        <v>1</v>
      </c>
      <c r="Q461" s="25"/>
      <c r="R461" s="25"/>
      <c r="S461" s="24"/>
      <c r="T461" s="25"/>
      <c r="U461" s="25"/>
      <c r="V461" s="25"/>
    </row>
    <row r="462" spans="1:22" ht="48" x14ac:dyDescent="0.25">
      <c r="A462" s="23" t="s">
        <v>1440</v>
      </c>
      <c r="B462" s="279" t="s">
        <v>757</v>
      </c>
      <c r="C462" s="23" t="s">
        <v>1474</v>
      </c>
      <c r="D462" s="13" t="s">
        <v>1589</v>
      </c>
      <c r="E462" s="13" t="s">
        <v>776</v>
      </c>
      <c r="F462" s="13" t="s">
        <v>1441</v>
      </c>
      <c r="G462" s="13" t="s">
        <v>1386</v>
      </c>
      <c r="H462" s="17" t="s">
        <v>1586</v>
      </c>
      <c r="I462" s="29"/>
      <c r="J462" s="29"/>
      <c r="K462" s="23" t="s">
        <v>1249</v>
      </c>
      <c r="L462" s="49" t="s">
        <v>1435</v>
      </c>
      <c r="M462" s="259">
        <v>3.35</v>
      </c>
      <c r="N462" s="24" t="s">
        <v>1043</v>
      </c>
      <c r="O462" s="23" t="s">
        <v>1044</v>
      </c>
      <c r="P462" s="10">
        <v>38</v>
      </c>
      <c r="Q462" s="25"/>
      <c r="R462" s="25"/>
      <c r="S462" s="24"/>
      <c r="T462" s="25"/>
      <c r="U462" s="25"/>
      <c r="V462" s="25"/>
    </row>
    <row r="463" spans="1:22" ht="48" x14ac:dyDescent="0.25">
      <c r="A463" s="30" t="s">
        <v>68</v>
      </c>
      <c r="B463" s="279" t="s">
        <v>758</v>
      </c>
      <c r="C463" s="76" t="s">
        <v>69</v>
      </c>
      <c r="D463" s="76" t="s">
        <v>1589</v>
      </c>
      <c r="E463" s="76" t="s">
        <v>776</v>
      </c>
      <c r="F463" s="76" t="s">
        <v>1441</v>
      </c>
      <c r="G463" s="13" t="s">
        <v>1386</v>
      </c>
      <c r="H463" s="276" t="s">
        <v>1586</v>
      </c>
      <c r="I463" s="277"/>
      <c r="J463" s="277"/>
      <c r="K463" s="74" t="s">
        <v>1249</v>
      </c>
      <c r="L463" s="242" t="s">
        <v>1435</v>
      </c>
      <c r="M463" s="278">
        <v>1.86</v>
      </c>
      <c r="N463" s="280" t="s">
        <v>70</v>
      </c>
      <c r="O463" s="74" t="s">
        <v>71</v>
      </c>
      <c r="P463" s="74">
        <v>2</v>
      </c>
      <c r="Q463" s="25"/>
      <c r="R463" s="25"/>
      <c r="S463" s="24"/>
      <c r="T463" s="25"/>
      <c r="U463" s="25"/>
      <c r="V463" s="25"/>
    </row>
    <row r="464" spans="1:22" ht="60" x14ac:dyDescent="0.25">
      <c r="A464" s="428" t="s">
        <v>1831</v>
      </c>
      <c r="B464" s="429"/>
      <c r="C464" s="428" t="s">
        <v>378</v>
      </c>
      <c r="D464" s="456"/>
      <c r="E464" s="456"/>
      <c r="F464" s="456"/>
      <c r="G464" s="456"/>
      <c r="H464" s="456"/>
      <c r="I464" s="456"/>
      <c r="J464" s="456"/>
      <c r="K464" s="460"/>
      <c r="L464" s="460"/>
      <c r="M464" s="461"/>
      <c r="N464" s="462"/>
      <c r="O464" s="460"/>
      <c r="P464" s="462"/>
      <c r="Q464" s="460"/>
      <c r="R464" s="460"/>
      <c r="S464" s="462"/>
      <c r="T464" s="460"/>
      <c r="U464" s="460"/>
      <c r="V464" s="460"/>
    </row>
    <row r="465" spans="1:22" ht="60" x14ac:dyDescent="0.25">
      <c r="A465" s="428" t="s">
        <v>1832</v>
      </c>
      <c r="B465" s="429"/>
      <c r="C465" s="428" t="s">
        <v>379</v>
      </c>
      <c r="D465" s="456"/>
      <c r="E465" s="456"/>
      <c r="F465" s="456"/>
      <c r="G465" s="456"/>
      <c r="H465" s="456"/>
      <c r="I465" s="456"/>
      <c r="J465" s="456"/>
      <c r="K465" s="460"/>
      <c r="L465" s="460"/>
      <c r="M465" s="461"/>
      <c r="N465" s="462"/>
      <c r="O465" s="460"/>
      <c r="P465" s="462"/>
      <c r="Q465" s="460"/>
      <c r="R465" s="460"/>
      <c r="S465" s="462"/>
      <c r="T465" s="460"/>
      <c r="U465" s="460"/>
      <c r="V465" s="460"/>
    </row>
    <row r="466" spans="1:22" ht="57" customHeight="1" x14ac:dyDescent="0.25">
      <c r="A466" s="428" t="s">
        <v>1335</v>
      </c>
      <c r="B466" s="429"/>
      <c r="C466" s="428" t="s">
        <v>1336</v>
      </c>
      <c r="D466" s="456"/>
      <c r="E466" s="456"/>
      <c r="F466" s="456"/>
      <c r="G466" s="456"/>
      <c r="H466" s="456"/>
      <c r="I466" s="456"/>
      <c r="J466" s="456"/>
      <c r="K466" s="460"/>
      <c r="L466" s="460"/>
      <c r="M466" s="461"/>
      <c r="N466" s="462"/>
      <c r="O466" s="460"/>
      <c r="P466" s="462"/>
      <c r="Q466" s="460"/>
      <c r="R466" s="460"/>
      <c r="S466" s="462"/>
      <c r="T466" s="460"/>
      <c r="U466" s="460"/>
      <c r="V466" s="460"/>
    </row>
    <row r="467" spans="1:22" ht="48" x14ac:dyDescent="0.25">
      <c r="A467" s="23" t="s">
        <v>1337</v>
      </c>
      <c r="B467" s="279" t="s">
        <v>759</v>
      </c>
      <c r="C467" s="23" t="s">
        <v>1380</v>
      </c>
      <c r="D467" s="9" t="s">
        <v>1590</v>
      </c>
      <c r="E467" s="9" t="s">
        <v>776</v>
      </c>
      <c r="F467" s="9" t="s">
        <v>1446</v>
      </c>
      <c r="G467" s="9" t="s">
        <v>1386</v>
      </c>
      <c r="H467" s="9" t="s">
        <v>1586</v>
      </c>
      <c r="I467" s="29"/>
      <c r="J467" s="29"/>
      <c r="K467" s="25" t="s">
        <v>1249</v>
      </c>
      <c r="L467" s="49" t="s">
        <v>1184</v>
      </c>
      <c r="M467" s="259">
        <v>5</v>
      </c>
      <c r="N467" s="24" t="s">
        <v>1070</v>
      </c>
      <c r="O467" s="23" t="s">
        <v>1185</v>
      </c>
      <c r="P467" s="24">
        <v>1</v>
      </c>
      <c r="Q467" s="25"/>
      <c r="R467" s="25"/>
      <c r="S467" s="24"/>
      <c r="T467" s="25"/>
      <c r="U467" s="25"/>
      <c r="V467" s="25"/>
    </row>
    <row r="468" spans="1:22" ht="60" x14ac:dyDescent="0.25">
      <c r="A468" s="23" t="s">
        <v>1423</v>
      </c>
      <c r="B468" s="279" t="s">
        <v>760</v>
      </c>
      <c r="C468" s="23" t="s">
        <v>1424</v>
      </c>
      <c r="D468" s="9" t="s">
        <v>850</v>
      </c>
      <c r="E468" s="9" t="s">
        <v>776</v>
      </c>
      <c r="F468" s="9" t="s">
        <v>1400</v>
      </c>
      <c r="G468" s="9" t="s">
        <v>1386</v>
      </c>
      <c r="H468" s="9" t="s">
        <v>1586</v>
      </c>
      <c r="I468" s="29"/>
      <c r="J468" s="29"/>
      <c r="K468" s="25" t="s">
        <v>1249</v>
      </c>
      <c r="L468" s="49" t="s">
        <v>1184</v>
      </c>
      <c r="M468" s="259">
        <v>128</v>
      </c>
      <c r="N468" s="24" t="s">
        <v>1070</v>
      </c>
      <c r="O468" s="23" t="s">
        <v>1185</v>
      </c>
      <c r="P468" s="24">
        <v>1</v>
      </c>
      <c r="Q468" s="25"/>
      <c r="R468" s="25"/>
      <c r="S468" s="24"/>
      <c r="T468" s="25"/>
      <c r="U468" s="25"/>
      <c r="V468" s="25"/>
    </row>
    <row r="469" spans="1:22" ht="48" x14ac:dyDescent="0.25">
      <c r="A469" s="23" t="s">
        <v>1484</v>
      </c>
      <c r="B469" s="279" t="s">
        <v>761</v>
      </c>
      <c r="C469" s="23" t="s">
        <v>1483</v>
      </c>
      <c r="D469" s="11" t="s">
        <v>1584</v>
      </c>
      <c r="E469" s="11" t="s">
        <v>776</v>
      </c>
      <c r="F469" s="11" t="s">
        <v>1436</v>
      </c>
      <c r="G469" s="27" t="s">
        <v>1386</v>
      </c>
      <c r="H469" s="22" t="s">
        <v>1586</v>
      </c>
      <c r="I469" s="29"/>
      <c r="J469" s="29"/>
      <c r="K469" s="25" t="s">
        <v>1249</v>
      </c>
      <c r="L469" s="49" t="s">
        <v>1184</v>
      </c>
      <c r="M469" s="259">
        <v>2</v>
      </c>
      <c r="N469" s="24" t="s">
        <v>1070</v>
      </c>
      <c r="O469" s="23" t="s">
        <v>1185</v>
      </c>
      <c r="P469" s="24">
        <v>1</v>
      </c>
      <c r="Q469" s="25"/>
      <c r="R469" s="25"/>
      <c r="S469" s="24"/>
      <c r="T469" s="25"/>
      <c r="U469" s="25"/>
      <c r="V469" s="25"/>
    </row>
    <row r="470" spans="1:22" ht="48" x14ac:dyDescent="0.25">
      <c r="A470" s="23" t="s">
        <v>72</v>
      </c>
      <c r="B470" s="279" t="s">
        <v>762</v>
      </c>
      <c r="C470" s="30" t="s">
        <v>1434</v>
      </c>
      <c r="D470" s="10" t="s">
        <v>1587</v>
      </c>
      <c r="E470" s="10" t="s">
        <v>776</v>
      </c>
      <c r="F470" s="10" t="s">
        <v>1454</v>
      </c>
      <c r="G470" s="9" t="s">
        <v>1386</v>
      </c>
      <c r="H470" s="10" t="s">
        <v>1586</v>
      </c>
      <c r="I470" s="10"/>
      <c r="J470" s="10"/>
      <c r="K470" s="23" t="s">
        <v>1249</v>
      </c>
      <c r="L470" s="49" t="s">
        <v>1435</v>
      </c>
      <c r="M470" s="59">
        <v>5</v>
      </c>
      <c r="N470" s="24" t="s">
        <v>1070</v>
      </c>
      <c r="O470" s="23" t="s">
        <v>134</v>
      </c>
      <c r="P470" s="24">
        <v>1</v>
      </c>
      <c r="Q470" s="25"/>
      <c r="R470" s="25"/>
      <c r="S470" s="24"/>
      <c r="T470" s="25"/>
      <c r="U470" s="25"/>
      <c r="V470" s="25"/>
    </row>
    <row r="471" spans="1:22" ht="48" x14ac:dyDescent="0.25">
      <c r="A471" s="23" t="s">
        <v>133</v>
      </c>
      <c r="B471" s="279" t="s">
        <v>763</v>
      </c>
      <c r="C471" s="30" t="s">
        <v>172</v>
      </c>
      <c r="D471" s="47" t="s">
        <v>850</v>
      </c>
      <c r="E471" s="47" t="s">
        <v>776</v>
      </c>
      <c r="F471" s="47" t="s">
        <v>1400</v>
      </c>
      <c r="G471" s="14" t="s">
        <v>1386</v>
      </c>
      <c r="H471" s="47" t="s">
        <v>1586</v>
      </c>
      <c r="I471" s="10"/>
      <c r="J471" s="10"/>
      <c r="K471" s="23" t="s">
        <v>1070</v>
      </c>
      <c r="L471" s="23" t="s">
        <v>134</v>
      </c>
      <c r="M471" s="59">
        <v>1</v>
      </c>
      <c r="N471" s="24" t="s">
        <v>1249</v>
      </c>
      <c r="O471" s="49" t="s">
        <v>1435</v>
      </c>
      <c r="P471" s="24">
        <v>2.9</v>
      </c>
      <c r="Q471" s="25"/>
      <c r="R471" s="25"/>
      <c r="S471" s="24"/>
      <c r="T471" s="25"/>
      <c r="U471" s="25"/>
      <c r="V471" s="25"/>
    </row>
    <row r="472" spans="1:22" ht="84" x14ac:dyDescent="0.25">
      <c r="A472" s="82" t="s">
        <v>1668</v>
      </c>
      <c r="B472" s="45"/>
      <c r="C472" s="41" t="s">
        <v>388</v>
      </c>
      <c r="D472" s="101"/>
      <c r="E472" s="101"/>
      <c r="F472" s="101"/>
      <c r="G472" s="101"/>
      <c r="H472" s="101"/>
      <c r="I472" s="101"/>
      <c r="J472" s="101"/>
      <c r="K472" s="103"/>
      <c r="L472" s="103"/>
      <c r="M472" s="256"/>
      <c r="N472" s="102"/>
      <c r="O472" s="103"/>
      <c r="P472" s="102"/>
      <c r="Q472" s="103"/>
      <c r="R472" s="103"/>
      <c r="S472" s="102"/>
      <c r="T472" s="103"/>
      <c r="U472" s="103"/>
      <c r="V472" s="103"/>
    </row>
    <row r="473" spans="1:22" ht="144" x14ac:dyDescent="0.25">
      <c r="A473" s="43" t="s">
        <v>1669</v>
      </c>
      <c r="B473" s="44"/>
      <c r="C473" s="43" t="s">
        <v>1671</v>
      </c>
      <c r="D473" s="104"/>
      <c r="E473" s="104"/>
      <c r="F473" s="104"/>
      <c r="G473" s="104"/>
      <c r="H473" s="104"/>
      <c r="I473" s="104"/>
      <c r="J473" s="104"/>
      <c r="K473" s="106"/>
      <c r="L473" s="106"/>
      <c r="M473" s="257"/>
      <c r="N473" s="105"/>
      <c r="O473" s="106"/>
      <c r="P473" s="105"/>
      <c r="Q473" s="106"/>
      <c r="R473" s="106"/>
      <c r="S473" s="105"/>
      <c r="T473" s="106"/>
      <c r="U473" s="106"/>
      <c r="V473" s="106"/>
    </row>
    <row r="474" spans="1:22" ht="72" x14ac:dyDescent="0.25">
      <c r="A474" s="428" t="s">
        <v>1833</v>
      </c>
      <c r="B474" s="436"/>
      <c r="C474" s="428" t="s">
        <v>380</v>
      </c>
      <c r="D474" s="463"/>
      <c r="E474" s="463"/>
      <c r="F474" s="463"/>
      <c r="G474" s="463"/>
      <c r="H474" s="463"/>
      <c r="I474" s="463"/>
      <c r="J474" s="463"/>
      <c r="K474" s="460"/>
      <c r="L474" s="460"/>
      <c r="M474" s="461"/>
      <c r="N474" s="462"/>
      <c r="O474" s="460"/>
      <c r="P474" s="462"/>
      <c r="Q474" s="460"/>
      <c r="R474" s="460"/>
      <c r="S474" s="462"/>
      <c r="T474" s="460"/>
      <c r="U474" s="460"/>
      <c r="V474" s="460"/>
    </row>
    <row r="475" spans="1:22" ht="60" x14ac:dyDescent="0.25">
      <c r="A475" s="23" t="s">
        <v>939</v>
      </c>
      <c r="B475" s="279" t="s">
        <v>764</v>
      </c>
      <c r="C475" s="23" t="s">
        <v>1432</v>
      </c>
      <c r="D475" s="10" t="s">
        <v>1145</v>
      </c>
      <c r="E475" s="10" t="s">
        <v>776</v>
      </c>
      <c r="F475" s="10" t="s">
        <v>1147</v>
      </c>
      <c r="G475" s="9" t="s">
        <v>1386</v>
      </c>
      <c r="H475" s="24" t="s">
        <v>1586</v>
      </c>
      <c r="I475" s="10"/>
      <c r="J475" s="10"/>
      <c r="K475" s="258" t="s">
        <v>1041</v>
      </c>
      <c r="L475" s="258" t="s">
        <v>1042</v>
      </c>
      <c r="M475" s="259">
        <v>2</v>
      </c>
      <c r="N475" s="24"/>
      <c r="O475" s="25"/>
      <c r="P475" s="24"/>
      <c r="Q475" s="25"/>
      <c r="R475" s="25"/>
      <c r="S475" s="24"/>
      <c r="T475" s="25"/>
      <c r="U475" s="25"/>
      <c r="V475" s="25"/>
    </row>
    <row r="476" spans="1:22" ht="60" x14ac:dyDescent="0.25">
      <c r="A476" s="23" t="s">
        <v>1157</v>
      </c>
      <c r="B476" s="279" t="s">
        <v>765</v>
      </c>
      <c r="C476" s="23" t="s">
        <v>1479</v>
      </c>
      <c r="D476" s="10" t="s">
        <v>1584</v>
      </c>
      <c r="E476" s="10" t="s">
        <v>776</v>
      </c>
      <c r="F476" s="10" t="s">
        <v>1436</v>
      </c>
      <c r="G476" s="27" t="s">
        <v>1386</v>
      </c>
      <c r="H476" s="24" t="s">
        <v>1586</v>
      </c>
      <c r="I476" s="10"/>
      <c r="J476" s="10"/>
      <c r="K476" s="258" t="s">
        <v>1041</v>
      </c>
      <c r="L476" s="258" t="s">
        <v>1042</v>
      </c>
      <c r="M476" s="259">
        <v>1</v>
      </c>
      <c r="N476" s="24"/>
      <c r="O476" s="25"/>
      <c r="P476" s="24"/>
      <c r="Q476" s="25"/>
      <c r="R476" s="25"/>
      <c r="S476" s="24"/>
      <c r="T476" s="25"/>
      <c r="U476" s="25"/>
      <c r="V476" s="25"/>
    </row>
    <row r="477" spans="1:22" ht="72" x14ac:dyDescent="0.25">
      <c r="A477" s="23" t="s">
        <v>1385</v>
      </c>
      <c r="B477" s="279" t="s">
        <v>766</v>
      </c>
      <c r="C477" s="23" t="s">
        <v>1439</v>
      </c>
      <c r="D477" s="10" t="s">
        <v>1580</v>
      </c>
      <c r="E477" s="10" t="s">
        <v>776</v>
      </c>
      <c r="F477" s="10" t="s">
        <v>1456</v>
      </c>
      <c r="G477" s="27" t="s">
        <v>1386</v>
      </c>
      <c r="H477" s="24" t="s">
        <v>1586</v>
      </c>
      <c r="I477" s="10"/>
      <c r="J477" s="10"/>
      <c r="K477" s="258" t="s">
        <v>1041</v>
      </c>
      <c r="L477" s="258" t="s">
        <v>1042</v>
      </c>
      <c r="M477" s="259">
        <v>3</v>
      </c>
      <c r="N477" s="24"/>
      <c r="O477" s="25"/>
      <c r="P477" s="24"/>
      <c r="Q477" s="25"/>
      <c r="R477" s="25"/>
      <c r="S477" s="24"/>
      <c r="T477" s="25"/>
      <c r="U477" s="25"/>
      <c r="V477" s="25"/>
    </row>
    <row r="478" spans="1:22" ht="72" x14ac:dyDescent="0.25">
      <c r="A478" s="428" t="s">
        <v>1834</v>
      </c>
      <c r="B478" s="436"/>
      <c r="C478" s="428" t="s">
        <v>381</v>
      </c>
      <c r="D478" s="463"/>
      <c r="E478" s="463"/>
      <c r="F478" s="463"/>
      <c r="G478" s="463"/>
      <c r="H478" s="463"/>
      <c r="I478" s="463"/>
      <c r="J478" s="463"/>
      <c r="K478" s="460"/>
      <c r="L478" s="460"/>
      <c r="M478" s="461"/>
      <c r="N478" s="462"/>
      <c r="O478" s="460"/>
      <c r="P478" s="462"/>
      <c r="Q478" s="460"/>
      <c r="R478" s="460"/>
      <c r="S478" s="462"/>
      <c r="T478" s="460"/>
      <c r="U478" s="460"/>
      <c r="V478" s="460"/>
    </row>
    <row r="479" spans="1:22" ht="36" x14ac:dyDescent="0.25">
      <c r="A479" s="428" t="s">
        <v>1835</v>
      </c>
      <c r="B479" s="436"/>
      <c r="C479" s="428" t="s">
        <v>382</v>
      </c>
      <c r="D479" s="463"/>
      <c r="E479" s="463"/>
      <c r="F479" s="463"/>
      <c r="G479" s="463"/>
      <c r="H479" s="463"/>
      <c r="I479" s="463"/>
      <c r="J479" s="463"/>
      <c r="K479" s="460"/>
      <c r="L479" s="460"/>
      <c r="M479" s="461"/>
      <c r="N479" s="462"/>
      <c r="O479" s="460"/>
      <c r="P479" s="462"/>
      <c r="Q479" s="460"/>
      <c r="R479" s="460"/>
      <c r="S479" s="462"/>
      <c r="T479" s="460"/>
      <c r="U479" s="460"/>
      <c r="V479" s="460"/>
    </row>
    <row r="480" spans="1:22" ht="72" x14ac:dyDescent="0.25">
      <c r="A480" s="428" t="s">
        <v>1836</v>
      </c>
      <c r="B480" s="436"/>
      <c r="C480" s="428" t="s">
        <v>383</v>
      </c>
      <c r="D480" s="463"/>
      <c r="E480" s="463"/>
      <c r="F480" s="463"/>
      <c r="G480" s="463"/>
      <c r="H480" s="463"/>
      <c r="I480" s="463"/>
      <c r="J480" s="463"/>
      <c r="K480" s="460"/>
      <c r="L480" s="460"/>
      <c r="M480" s="461"/>
      <c r="N480" s="462"/>
      <c r="O480" s="460"/>
      <c r="P480" s="462"/>
      <c r="Q480" s="460"/>
      <c r="R480" s="460"/>
      <c r="S480" s="462"/>
      <c r="T480" s="460"/>
      <c r="U480" s="460"/>
      <c r="V480" s="460"/>
    </row>
    <row r="481" spans="1:22" ht="60" x14ac:dyDescent="0.25">
      <c r="A481" s="43" t="s">
        <v>1670</v>
      </c>
      <c r="B481" s="44"/>
      <c r="C481" s="43" t="s">
        <v>1672</v>
      </c>
      <c r="D481" s="104"/>
      <c r="E481" s="104"/>
      <c r="F481" s="104"/>
      <c r="G481" s="104"/>
      <c r="H481" s="104"/>
      <c r="I481" s="104"/>
      <c r="J481" s="104"/>
      <c r="K481" s="106"/>
      <c r="L481" s="106"/>
      <c r="M481" s="257"/>
      <c r="N481" s="105"/>
      <c r="O481" s="106"/>
      <c r="P481" s="105"/>
      <c r="Q481" s="106"/>
      <c r="R481" s="106"/>
      <c r="S481" s="105"/>
      <c r="T481" s="106"/>
      <c r="U481" s="106"/>
      <c r="V481" s="106"/>
    </row>
    <row r="482" spans="1:22" ht="84" x14ac:dyDescent="0.25">
      <c r="A482" s="428" t="s">
        <v>384</v>
      </c>
      <c r="B482" s="436"/>
      <c r="C482" s="428" t="s">
        <v>386</v>
      </c>
      <c r="D482" s="463"/>
      <c r="E482" s="463"/>
      <c r="F482" s="463"/>
      <c r="G482" s="463"/>
      <c r="H482" s="463"/>
      <c r="I482" s="463"/>
      <c r="J482" s="463"/>
      <c r="K482" s="460"/>
      <c r="L482" s="460"/>
      <c r="M482" s="461"/>
      <c r="N482" s="462"/>
      <c r="O482" s="460"/>
      <c r="P482" s="462"/>
      <c r="Q482" s="460"/>
      <c r="R482" s="460"/>
      <c r="S482" s="462"/>
      <c r="T482" s="460"/>
      <c r="U482" s="460"/>
      <c r="V482" s="460"/>
    </row>
    <row r="483" spans="1:22" ht="24" x14ac:dyDescent="0.25">
      <c r="A483" s="428" t="s">
        <v>385</v>
      </c>
      <c r="B483" s="436"/>
      <c r="C483" s="428" t="s">
        <v>387</v>
      </c>
      <c r="D483" s="463"/>
      <c r="E483" s="463"/>
      <c r="F483" s="463"/>
      <c r="G483" s="463"/>
      <c r="H483" s="463"/>
      <c r="I483" s="463"/>
      <c r="J483" s="463"/>
      <c r="K483" s="460"/>
      <c r="L483" s="460"/>
      <c r="M483" s="461"/>
      <c r="N483" s="462"/>
      <c r="O483" s="460"/>
      <c r="P483" s="462"/>
      <c r="Q483" s="460"/>
      <c r="R483" s="460"/>
      <c r="S483" s="462"/>
      <c r="T483" s="460"/>
      <c r="U483" s="460"/>
      <c r="V483" s="460"/>
    </row>
    <row r="484" spans="1:22" x14ac:dyDescent="0.25">
      <c r="A484" s="387"/>
      <c r="B484" s="387"/>
      <c r="C484" s="387"/>
      <c r="D484" s="388"/>
      <c r="E484" s="388"/>
      <c r="F484" s="388"/>
      <c r="G484" s="388"/>
      <c r="H484" s="388"/>
      <c r="I484" s="388"/>
      <c r="J484" s="388"/>
      <c r="K484" s="387"/>
      <c r="L484" s="387"/>
      <c r="M484" s="389"/>
      <c r="N484" s="388"/>
      <c r="O484" s="387"/>
      <c r="P484" s="388"/>
      <c r="Q484" s="387"/>
      <c r="R484" s="387"/>
      <c r="S484" s="388"/>
      <c r="T484" s="387"/>
      <c r="U484" s="387"/>
      <c r="V484" s="387"/>
    </row>
    <row r="485" spans="1:22" ht="15.75" x14ac:dyDescent="0.25">
      <c r="A485" s="310" t="s">
        <v>1096</v>
      </c>
    </row>
  </sheetData>
  <autoFilter ref="A8:V483"/>
  <mergeCells count="27">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 ref="L7:L8"/>
    <mergeCell ref="M7:M8"/>
    <mergeCell ref="S1:V1"/>
    <mergeCell ref="S2:V2"/>
    <mergeCell ref="S3:V3"/>
    <mergeCell ref="P7:P8"/>
    <mergeCell ref="Q7:Q8"/>
    <mergeCell ref="R7:R8"/>
    <mergeCell ref="S7:S8"/>
    <mergeCell ref="U7:U8"/>
    <mergeCell ref="V7:V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topLeftCell="A55" workbookViewId="0">
      <selection activeCell="S79" sqref="S79"/>
    </sheetView>
  </sheetViews>
  <sheetFormatPr defaultRowHeight="15" x14ac:dyDescent="0.25"/>
  <cols>
    <col min="1" max="1" width="12.5703125" customWidth="1"/>
    <col min="2" max="2" width="73.140625" customWidth="1"/>
    <col min="3" max="3" width="28.710937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2" t="s">
        <v>439</v>
      </c>
      <c r="D1" s="502"/>
      <c r="E1" s="502"/>
      <c r="F1" s="502"/>
    </row>
    <row r="2" spans="1:17" ht="15.75" x14ac:dyDescent="0.25">
      <c r="C2" s="503" t="s">
        <v>440</v>
      </c>
      <c r="D2" s="503"/>
      <c r="E2" s="503"/>
      <c r="F2" s="503"/>
    </row>
    <row r="3" spans="1:17" ht="15.75" x14ac:dyDescent="0.25">
      <c r="A3" s="154"/>
      <c r="C3" s="503" t="s">
        <v>441</v>
      </c>
      <c r="D3" s="503"/>
      <c r="E3" s="503"/>
      <c r="F3" s="503"/>
    </row>
    <row r="4" spans="1:17" ht="38.25" customHeight="1" x14ac:dyDescent="0.25">
      <c r="A4" s="318" t="s">
        <v>1097</v>
      </c>
    </row>
    <row r="5" spans="1:17" ht="75" customHeight="1" x14ac:dyDescent="0.25">
      <c r="A5" s="319" t="s">
        <v>302</v>
      </c>
      <c r="B5" s="319" t="s">
        <v>1098</v>
      </c>
      <c r="C5" s="319" t="s">
        <v>1099</v>
      </c>
      <c r="D5" s="153" t="s">
        <v>301</v>
      </c>
      <c r="E5" s="153" t="s">
        <v>300</v>
      </c>
      <c r="F5" s="153" t="s">
        <v>299</v>
      </c>
      <c r="G5" s="153" t="s">
        <v>298</v>
      </c>
      <c r="I5" s="152" t="s">
        <v>297</v>
      </c>
      <c r="K5" s="152" t="s">
        <v>296</v>
      </c>
      <c r="M5" t="s">
        <v>295</v>
      </c>
      <c r="O5" t="s">
        <v>294</v>
      </c>
    </row>
    <row r="6" spans="1:17" ht="16.5" thickBot="1" x14ac:dyDescent="0.3">
      <c r="A6" s="129" t="s">
        <v>293</v>
      </c>
      <c r="B6" s="129" t="s">
        <v>1022</v>
      </c>
      <c r="C6" s="119">
        <f>'3 lentele'!M330+'3 lentele'!M332+'3 lentele'!M333+'3 lentele'!M334+'3 lentele'!M335</f>
        <v>5</v>
      </c>
      <c r="E6" s="149"/>
      <c r="G6" s="145"/>
      <c r="I6" s="151"/>
      <c r="K6" s="146"/>
      <c r="M6" s="145">
        <v>8</v>
      </c>
      <c r="O6" s="144"/>
    </row>
    <row r="7" spans="1:17" ht="26.25" thickBot="1" x14ac:dyDescent="0.3">
      <c r="A7" s="129" t="s">
        <v>1023</v>
      </c>
      <c r="B7" s="129" t="s">
        <v>1024</v>
      </c>
      <c r="C7" s="119">
        <f>'3 lentele'!P115+'3 lentele'!P117+'3 lentele'!P118+'3 lentele'!M124+'3 lentele'!M125+'3 lentele'!M126+'3 lentele'!P127</f>
        <v>9950</v>
      </c>
      <c r="E7" s="149"/>
      <c r="G7" s="148">
        <v>2350</v>
      </c>
      <c r="I7" s="147"/>
      <c r="K7" s="146"/>
      <c r="M7" s="145">
        <v>100</v>
      </c>
      <c r="O7" s="144"/>
    </row>
    <row r="8" spans="1:17" ht="16.5" thickBot="1" x14ac:dyDescent="0.3">
      <c r="A8" s="129" t="s">
        <v>1025</v>
      </c>
      <c r="B8" s="129" t="s">
        <v>1026</v>
      </c>
      <c r="C8" s="119">
        <f>'3 lentele'!M66+'3 lentele'!M67+'3 lentele'!M68+'3 lentele'!M69+'3 lentele'!M70+'3 lentele'!M71+'3 lentele'!M72+'3 lentele'!M74+'3 lentele'!M75+'3 lentele'!M78+'3 lentele'!M79+'3 lentele'!M80+'3 lentele'!M81+'3 lentele'!M83+'3 lentele'!M84+'3 lentele'!M85</f>
        <v>28.714999999999993</v>
      </c>
      <c r="D8">
        <v>1.5</v>
      </c>
      <c r="E8" s="150">
        <v>6.59</v>
      </c>
      <c r="G8" s="145"/>
      <c r="I8" s="147">
        <v>4</v>
      </c>
      <c r="K8" s="146">
        <v>10.61</v>
      </c>
      <c r="M8" s="145">
        <v>6.7519999999999998</v>
      </c>
      <c r="O8" s="144">
        <v>3.3</v>
      </c>
    </row>
    <row r="9" spans="1:17" ht="26.25" thickBot="1" x14ac:dyDescent="0.3">
      <c r="A9" s="129" t="s">
        <v>1027</v>
      </c>
      <c r="B9" s="129" t="s">
        <v>1028</v>
      </c>
      <c r="C9" s="119">
        <f>'3 lentele'!M273+'3 lentele'!M274+'3 lentele'!M275+'3 lentele'!M276+'3 lentele'!P280+'3 lentele'!P281</f>
        <v>96065</v>
      </c>
      <c r="E9" s="149"/>
      <c r="G9" s="148">
        <v>1000</v>
      </c>
      <c r="I9" s="147"/>
      <c r="K9" s="146">
        <v>64945</v>
      </c>
      <c r="M9" s="145"/>
      <c r="O9" s="144">
        <v>5000</v>
      </c>
    </row>
    <row r="10" spans="1:17" ht="16.5" thickBot="1" x14ac:dyDescent="0.3">
      <c r="A10" s="129" t="s">
        <v>1029</v>
      </c>
      <c r="B10" s="129" t="s">
        <v>1030</v>
      </c>
      <c r="C10" s="184">
        <f>'3 lentele'!M17++'3 lentele'!M18+'3 lentele'!M28+'3 lentele'!M40+'3 lentele'!M41+'3 lentele'!M42+'3 lentele'!M43+'3 lentele'!M44+'3 lentele'!M45+'3 lentele'!M46+'3 lentele'!M47+'3 lentele'!M48+'3 lentele'!M49+'3 lentele'!M50+'3 lentele'!M51+'3 lentele'!P52+'3 lentele'!M53+'3 lentele'!M54+'3 lentele'!M55+'3 lentele'!M56+'3 lentele'!M57+'3 lentele'!M58+'3 lentele'!M121+'3 lentele'!M122+'3 lentele'!M123+'3 lentele'!M132+'3 lentele'!M133+'3 lentele'!M134+'3 lentele'!M59</f>
        <v>2068516.29</v>
      </c>
      <c r="D10">
        <v>4</v>
      </c>
      <c r="E10" s="150">
        <v>81943</v>
      </c>
      <c r="G10" s="145"/>
      <c r="I10" s="147">
        <v>2</v>
      </c>
      <c r="K10" s="146">
        <v>1530029</v>
      </c>
      <c r="M10" s="145">
        <v>13</v>
      </c>
      <c r="O10" s="144">
        <v>61000</v>
      </c>
      <c r="Q10" s="183"/>
    </row>
    <row r="11" spans="1:17" ht="16.5" thickBot="1" x14ac:dyDescent="0.3">
      <c r="A11" s="129" t="s">
        <v>1031</v>
      </c>
      <c r="B11" s="129" t="s">
        <v>1032</v>
      </c>
      <c r="C11" s="119">
        <f>'3 lentele'!M19+'3 lentele'!M27+'3 lentele'!M30+'3 lentele'!M33+'3 lentele'!P45+'3 lentele'!M52+'3 lentele'!P53+'3 lentele'!P57+'3 lentele'!P58+'3 lentele'!M131+'3 lentele'!M278+'3 lentele'!M319</f>
        <v>19400.349999999999</v>
      </c>
      <c r="D11">
        <v>3</v>
      </c>
      <c r="E11" s="150">
        <v>1000</v>
      </c>
      <c r="G11" s="145"/>
      <c r="I11" s="147">
        <v>3719</v>
      </c>
      <c r="K11" s="146">
        <v>17743</v>
      </c>
      <c r="M11" s="145">
        <v>800</v>
      </c>
      <c r="O11" s="144">
        <v>250</v>
      </c>
    </row>
    <row r="12" spans="1:17" ht="16.5" thickBot="1" x14ac:dyDescent="0.3">
      <c r="A12" s="129" t="s">
        <v>292</v>
      </c>
      <c r="B12" s="129" t="s">
        <v>291</v>
      </c>
      <c r="C12" s="119">
        <v>0</v>
      </c>
      <c r="E12" s="149"/>
      <c r="G12" s="145"/>
      <c r="I12" s="147"/>
      <c r="K12" s="146"/>
      <c r="M12" s="145"/>
      <c r="O12" s="144">
        <v>2</v>
      </c>
    </row>
    <row r="13" spans="1:17" ht="26.25" thickBot="1" x14ac:dyDescent="0.3">
      <c r="A13" s="129" t="s">
        <v>1033</v>
      </c>
      <c r="B13" s="129" t="s">
        <v>1034</v>
      </c>
      <c r="C13" s="314">
        <f>'3 lentele'!M413+'3 lentele'!M415+'3 lentele'!M417+'3 lentele'!M422+'3 lentele'!M423+'3 lentele'!M429+'3 lentele'!P430+'3 lentele'!M431+'3 lentele'!M432+'3 lentele'!M433+'3 lentele'!M434+'3 lentele'!M436+'3 lentele'!M440</f>
        <v>5600</v>
      </c>
      <c r="E13" s="149"/>
      <c r="G13" s="145"/>
      <c r="I13" s="147"/>
      <c r="K13" s="146"/>
      <c r="M13" s="145">
        <v>1465</v>
      </c>
      <c r="O13" s="144"/>
    </row>
    <row r="14" spans="1:17" ht="26.25" thickBot="1" x14ac:dyDescent="0.3">
      <c r="A14" s="129" t="s">
        <v>1035</v>
      </c>
      <c r="B14" s="129" t="s">
        <v>1036</v>
      </c>
      <c r="C14" s="119">
        <v>6079</v>
      </c>
      <c r="E14" s="149"/>
      <c r="G14" s="145"/>
      <c r="I14" s="147"/>
      <c r="K14" s="146"/>
      <c r="M14" s="145"/>
      <c r="O14" s="144"/>
    </row>
    <row r="15" spans="1:17" ht="26.25" thickBot="1" x14ac:dyDescent="0.3">
      <c r="A15" s="129" t="s">
        <v>1037</v>
      </c>
      <c r="B15" s="129" t="s">
        <v>1038</v>
      </c>
      <c r="C15" s="119">
        <v>8808</v>
      </c>
      <c r="E15" s="149"/>
      <c r="G15" s="145"/>
      <c r="I15" s="147"/>
      <c r="K15" s="146"/>
      <c r="M15" s="145">
        <v>1465</v>
      </c>
      <c r="O15" s="144"/>
    </row>
    <row r="16" spans="1:17" ht="26.25" thickBot="1" x14ac:dyDescent="0.3">
      <c r="A16" s="129" t="s">
        <v>1039</v>
      </c>
      <c r="B16" s="129" t="s">
        <v>1040</v>
      </c>
      <c r="C16" s="119">
        <v>316960</v>
      </c>
      <c r="E16" s="149"/>
      <c r="G16" s="145"/>
      <c r="I16" s="147"/>
      <c r="K16" s="146"/>
      <c r="M16" s="145">
        <v>748</v>
      </c>
      <c r="O16" s="144"/>
    </row>
    <row r="17" spans="1:15" ht="16.5" thickBot="1" x14ac:dyDescent="0.3">
      <c r="A17" s="129" t="s">
        <v>290</v>
      </c>
      <c r="B17" s="129" t="s">
        <v>289</v>
      </c>
      <c r="C17" s="119">
        <f>D17+E17+F17+G17+I17+K17+M17+O17</f>
        <v>0</v>
      </c>
      <c r="E17" s="149"/>
      <c r="G17" s="145"/>
      <c r="I17" s="147"/>
      <c r="K17" s="146"/>
      <c r="M17" s="145"/>
      <c r="O17" s="144"/>
    </row>
    <row r="18" spans="1:15" ht="26.25" thickBot="1" x14ac:dyDescent="0.3">
      <c r="A18" s="129" t="s">
        <v>1041</v>
      </c>
      <c r="B18" s="129" t="s">
        <v>1042</v>
      </c>
      <c r="C18" s="119">
        <v>6</v>
      </c>
      <c r="E18" s="149"/>
      <c r="G18" s="148">
        <v>1</v>
      </c>
      <c r="I18" s="147"/>
      <c r="K18" s="146"/>
      <c r="M18" s="145"/>
      <c r="O18" s="144"/>
    </row>
    <row r="19" spans="1:15" ht="16.5" thickBot="1" x14ac:dyDescent="0.3">
      <c r="A19" s="129" t="s">
        <v>1043</v>
      </c>
      <c r="B19" s="129" t="s">
        <v>1044</v>
      </c>
      <c r="C19" s="119">
        <v>65</v>
      </c>
      <c r="E19" s="149"/>
      <c r="G19" s="145"/>
      <c r="I19" s="147"/>
      <c r="K19" s="146"/>
      <c r="M19" s="145">
        <v>6</v>
      </c>
      <c r="O19" s="144"/>
    </row>
    <row r="20" spans="1:15" ht="16.5" thickBot="1" x14ac:dyDescent="0.3">
      <c r="A20" s="129" t="s">
        <v>1045</v>
      </c>
      <c r="B20" s="129" t="s">
        <v>1046</v>
      </c>
      <c r="C20" s="119">
        <v>17</v>
      </c>
      <c r="D20">
        <v>2</v>
      </c>
      <c r="E20" s="150">
        <v>1</v>
      </c>
      <c r="G20" s="145"/>
      <c r="I20" s="147">
        <v>1</v>
      </c>
      <c r="K20" s="146"/>
      <c r="M20" s="145">
        <v>1</v>
      </c>
      <c r="O20" s="144">
        <v>2</v>
      </c>
    </row>
    <row r="21" spans="1:15" ht="16.5" thickBot="1" x14ac:dyDescent="0.3">
      <c r="A21" s="129" t="s">
        <v>1047</v>
      </c>
      <c r="B21" s="129" t="s">
        <v>1048</v>
      </c>
      <c r="C21" s="119">
        <v>38034</v>
      </c>
      <c r="E21" s="149"/>
      <c r="G21" s="148">
        <v>200</v>
      </c>
      <c r="I21" s="147"/>
      <c r="K21" s="146"/>
      <c r="M21" s="145">
        <v>10000</v>
      </c>
      <c r="O21" s="144">
        <v>5000</v>
      </c>
    </row>
    <row r="22" spans="1:15" ht="16.5" thickBot="1" x14ac:dyDescent="0.3">
      <c r="A22" s="120" t="s">
        <v>288</v>
      </c>
      <c r="B22" s="129" t="s">
        <v>287</v>
      </c>
      <c r="C22" s="119">
        <f>D22+E22+F22+G22+I22+K22+M22+O22</f>
        <v>0</v>
      </c>
      <c r="E22" s="128"/>
      <c r="G22" s="124"/>
      <c r="I22" s="136"/>
      <c r="K22" s="134"/>
      <c r="M22" s="124"/>
      <c r="O22" s="126"/>
    </row>
    <row r="23" spans="1:15" ht="16.5" thickBot="1" x14ac:dyDescent="0.3">
      <c r="A23" s="129" t="s">
        <v>1049</v>
      </c>
      <c r="B23" s="129" t="s">
        <v>1050</v>
      </c>
      <c r="C23" s="119">
        <v>1</v>
      </c>
      <c r="E23" s="128"/>
      <c r="G23" s="124"/>
      <c r="I23" s="136">
        <v>1</v>
      </c>
      <c r="K23" s="134"/>
      <c r="M23" s="124"/>
      <c r="O23" s="126">
        <v>2</v>
      </c>
    </row>
    <row r="24" spans="1:15" ht="39" thickBot="1" x14ac:dyDescent="0.3">
      <c r="A24" s="129" t="s">
        <v>1872</v>
      </c>
      <c r="B24" s="129" t="s">
        <v>1873</v>
      </c>
      <c r="C24" s="119">
        <f>'3 lentele'!M285+'3 lentele'!M286+'3 lentele'!M287+'3 lentele'!M288+'3 lentele'!M289+'3 lentele'!M290+'3 lentele'!M291</f>
        <v>454</v>
      </c>
      <c r="E24" s="128"/>
      <c r="G24" s="124"/>
      <c r="I24" s="136"/>
      <c r="K24" s="134"/>
      <c r="M24" s="124"/>
      <c r="O24" s="126"/>
    </row>
    <row r="25" spans="1:15" ht="16.5" thickBot="1" x14ac:dyDescent="0.3">
      <c r="A25" s="129" t="s">
        <v>1051</v>
      </c>
      <c r="B25" s="129" t="s">
        <v>1052</v>
      </c>
      <c r="C25" s="119">
        <f>'3 lentele'!P162+'3 lentele'!P164+'3 lentele'!M165+'3 lentele'!M166+'3 lentele'!M167+'3 lentele'!M170+'3 lentele'!M180+'3 lentele'!M182+'3 lentele'!M184+'3 lentele'!M197+'3 lentele'!M198</f>
        <v>11</v>
      </c>
      <c r="E25" s="128"/>
      <c r="G25" s="122">
        <v>1</v>
      </c>
      <c r="I25" s="136">
        <v>1</v>
      </c>
      <c r="K25" s="134">
        <v>7</v>
      </c>
      <c r="M25" s="124">
        <v>1</v>
      </c>
      <c r="O25" s="126">
        <v>2</v>
      </c>
    </row>
    <row r="26" spans="1:15" ht="16.5" thickBot="1" x14ac:dyDescent="0.3">
      <c r="A26" s="129" t="s">
        <v>1053</v>
      </c>
      <c r="B26" s="129" t="s">
        <v>1054</v>
      </c>
      <c r="C26" s="119">
        <v>15</v>
      </c>
      <c r="E26" s="128"/>
      <c r="G26" s="122">
        <v>1</v>
      </c>
      <c r="I26" s="136"/>
      <c r="K26" s="134">
        <v>5</v>
      </c>
      <c r="M26" s="124">
        <v>7</v>
      </c>
      <c r="O26" s="126">
        <v>3</v>
      </c>
    </row>
    <row r="27" spans="1:15" ht="16.5" thickBot="1" x14ac:dyDescent="0.3">
      <c r="A27" s="129" t="s">
        <v>1055</v>
      </c>
      <c r="B27" s="129" t="s">
        <v>1056</v>
      </c>
      <c r="C27" s="119">
        <v>11</v>
      </c>
      <c r="E27" s="128"/>
      <c r="G27" s="122">
        <v>1</v>
      </c>
      <c r="I27" s="136"/>
      <c r="K27" s="134">
        <v>3</v>
      </c>
      <c r="M27" s="124">
        <v>1</v>
      </c>
      <c r="O27" s="126">
        <v>1</v>
      </c>
    </row>
    <row r="28" spans="1:15" ht="26.25" thickBot="1" x14ac:dyDescent="0.3">
      <c r="A28" s="129" t="s">
        <v>286</v>
      </c>
      <c r="B28" s="129" t="s">
        <v>285</v>
      </c>
      <c r="C28" s="119">
        <v>0</v>
      </c>
      <c r="E28" s="128"/>
      <c r="G28" s="122">
        <v>1</v>
      </c>
      <c r="I28" s="136"/>
      <c r="K28" s="134"/>
      <c r="M28" s="124"/>
      <c r="O28" s="126">
        <v>2</v>
      </c>
    </row>
    <row r="29" spans="1:15" ht="16.5" thickBot="1" x14ac:dyDescent="0.3">
      <c r="A29" s="129" t="s">
        <v>1057</v>
      </c>
      <c r="B29" s="129" t="s">
        <v>1058</v>
      </c>
      <c r="C29" s="119">
        <f>'3 lentele'!M98+'3 lentele'!M100+'3 lentele'!M101+'3 lentele'!M102+'3 lentele'!M103+'3 lentele'!M104+'3 lentele'!M105+'3 lentele'!M106+'3 lentele'!M107+'3 lentele'!M108</f>
        <v>20.214999999999996</v>
      </c>
      <c r="D29">
        <v>1.5</v>
      </c>
      <c r="E29" s="143">
        <v>0.9</v>
      </c>
      <c r="G29" s="122">
        <v>1</v>
      </c>
      <c r="I29" s="137">
        <v>9.8000000000000007</v>
      </c>
      <c r="K29" s="134">
        <v>11</v>
      </c>
      <c r="M29" s="124">
        <v>1.5</v>
      </c>
      <c r="O29" s="126">
        <v>0.8</v>
      </c>
    </row>
    <row r="30" spans="1:15" ht="16.5" thickBot="1" x14ac:dyDescent="0.3">
      <c r="A30" s="129" t="s">
        <v>131</v>
      </c>
      <c r="B30" s="129" t="s">
        <v>284</v>
      </c>
      <c r="C30" s="119">
        <f>'3 lentele'!P98+'3 lentele'!M99</f>
        <v>1.6</v>
      </c>
      <c r="E30" s="128"/>
      <c r="G30" s="124"/>
      <c r="I30" s="136"/>
      <c r="K30" s="134"/>
      <c r="M30" s="124"/>
      <c r="O30" s="126"/>
    </row>
    <row r="31" spans="1:15" ht="16.5" thickBot="1" x14ac:dyDescent="0.3">
      <c r="A31" s="129" t="s">
        <v>1059</v>
      </c>
      <c r="B31" s="129" t="s">
        <v>1060</v>
      </c>
      <c r="C31" s="185">
        <f>'3 lentele'!P89+'3 lentele'!M90+'3 lentele'!M94+'3 lentele'!M95+'3 lentele'!M96</f>
        <v>16</v>
      </c>
      <c r="D31">
        <v>3</v>
      </c>
      <c r="E31" s="128"/>
      <c r="G31" s="122">
        <v>3</v>
      </c>
      <c r="I31" s="136">
        <v>2</v>
      </c>
      <c r="K31" s="134">
        <v>3</v>
      </c>
      <c r="M31" s="124">
        <v>1</v>
      </c>
      <c r="O31" s="126">
        <v>11</v>
      </c>
    </row>
    <row r="32" spans="1:15" ht="16.5" thickBot="1" x14ac:dyDescent="0.3">
      <c r="A32" s="129" t="s">
        <v>1061</v>
      </c>
      <c r="B32" s="129" t="s">
        <v>1062</v>
      </c>
      <c r="C32" s="119">
        <f>'3 lentele'!M452+'3 lentele'!M110+'3 lentele'!M111</f>
        <v>30</v>
      </c>
      <c r="E32" s="128"/>
      <c r="G32" s="124"/>
      <c r="I32" s="136">
        <v>3</v>
      </c>
      <c r="K32" s="134">
        <v>9</v>
      </c>
      <c r="M32" s="124"/>
      <c r="O32" s="126">
        <v>2</v>
      </c>
    </row>
    <row r="33" spans="1:15" ht="26.25" thickBot="1" x14ac:dyDescent="0.3">
      <c r="A33" s="129" t="s">
        <v>1063</v>
      </c>
      <c r="B33" s="129" t="s">
        <v>283</v>
      </c>
      <c r="C33" s="119">
        <f>'3 lentele'!M304+'3 lentele'!M305+'3 lentele'!M310</f>
        <v>1157.0700000000002</v>
      </c>
      <c r="E33" s="128"/>
      <c r="G33" s="124"/>
      <c r="I33" s="136"/>
      <c r="K33" s="134">
        <v>58.9</v>
      </c>
      <c r="M33" s="124"/>
      <c r="O33" s="126"/>
    </row>
    <row r="34" spans="1:15" ht="16.5" thickBot="1" x14ac:dyDescent="0.3">
      <c r="A34" s="120" t="s">
        <v>1064</v>
      </c>
      <c r="B34" s="129" t="s">
        <v>1065</v>
      </c>
      <c r="C34" s="119">
        <v>31629.1</v>
      </c>
      <c r="E34" s="128"/>
      <c r="G34" s="135"/>
      <c r="I34" s="127"/>
      <c r="K34" s="134">
        <v>1384</v>
      </c>
      <c r="M34" s="124">
        <v>1500</v>
      </c>
      <c r="O34" s="126"/>
    </row>
    <row r="35" spans="1:15" ht="16.5" thickBot="1" x14ac:dyDescent="0.3">
      <c r="A35" s="129" t="s">
        <v>1066</v>
      </c>
      <c r="B35" s="129" t="s">
        <v>1067</v>
      </c>
      <c r="C35" s="119">
        <v>109.95</v>
      </c>
      <c r="E35" s="128"/>
      <c r="G35" s="124"/>
      <c r="I35" s="127"/>
      <c r="K35" s="124">
        <v>3.63</v>
      </c>
      <c r="M35" s="124"/>
      <c r="O35" s="126">
        <v>8</v>
      </c>
    </row>
    <row r="36" spans="1:15" ht="16.5" thickBot="1" x14ac:dyDescent="0.3">
      <c r="A36" s="129" t="s">
        <v>1068</v>
      </c>
      <c r="B36" s="129" t="s">
        <v>1069</v>
      </c>
      <c r="C36" s="119">
        <f>'3 lentele'!M115+'3 lentele'!M116+'3 lentele'!M117+'3 lentele'!M118+'3 lentele'!P124+'3 lentele'!P126+'3 lentele'!M127</f>
        <v>7</v>
      </c>
      <c r="E36" s="128"/>
      <c r="G36" s="124"/>
      <c r="I36" s="127"/>
      <c r="K36" s="124">
        <v>3</v>
      </c>
      <c r="M36" s="124"/>
      <c r="O36" s="126"/>
    </row>
    <row r="37" spans="1:15" ht="16.5" thickBot="1" x14ac:dyDescent="0.3">
      <c r="A37" s="129" t="s">
        <v>1070</v>
      </c>
      <c r="B37" s="129" t="s">
        <v>282</v>
      </c>
      <c r="C37" s="119">
        <v>5</v>
      </c>
      <c r="E37" s="128"/>
      <c r="G37" s="124"/>
      <c r="I37" s="127"/>
      <c r="K37" s="124"/>
      <c r="M37" s="124">
        <v>1</v>
      </c>
      <c r="O37" s="126"/>
    </row>
    <row r="38" spans="1:15" ht="16.5" thickBot="1" x14ac:dyDescent="0.3">
      <c r="A38" s="133" t="s">
        <v>1071</v>
      </c>
      <c r="B38" s="132" t="s">
        <v>1072</v>
      </c>
      <c r="C38" s="119">
        <f>'3 lentele'!P67+'3 lentele'!S69+'3 lentele'!P71+'3 lentele'!P72+'3 lentele'!S74+'3 lentele'!M76+'3 lentele'!M77+'3 lentele'!P78+'3 lentele'!P79+'3 lentele'!P80+'3 lentele'!P81+'3 lentele'!M82+'3 lentele'!M86+'3 lentele'!M87+'3 lentele'!M91+'3 lentele'!M92+'3 lentele'!M93</f>
        <v>42</v>
      </c>
      <c r="D38">
        <v>2</v>
      </c>
      <c r="E38" s="128"/>
      <c r="G38" s="124"/>
      <c r="I38" s="127"/>
      <c r="K38" s="124">
        <v>3</v>
      </c>
      <c r="M38" s="124"/>
      <c r="O38" s="126">
        <v>3</v>
      </c>
    </row>
    <row r="39" spans="1:15" ht="16.5" thickBot="1" x14ac:dyDescent="0.3">
      <c r="A39" s="129" t="s">
        <v>1073</v>
      </c>
      <c r="B39" s="129" t="s">
        <v>1074</v>
      </c>
      <c r="C39" s="119">
        <f>'3 lentele'!M230+'3 lentele'!M232+'3 lentele'!M233+'3 lentele'!M234+'3 lentele'!M235+'3 lentele'!M236+'3 lentele'!M239+'3 lentele'!M241+'3 lentele'!M242</f>
        <v>9</v>
      </c>
      <c r="E39" s="128"/>
      <c r="G39" s="122">
        <v>1</v>
      </c>
      <c r="I39" s="127"/>
      <c r="K39" s="124">
        <v>1</v>
      </c>
      <c r="M39" s="124">
        <v>2</v>
      </c>
      <c r="O39" s="126">
        <v>1</v>
      </c>
    </row>
    <row r="40" spans="1:15" ht="16.5" thickBot="1" x14ac:dyDescent="0.3">
      <c r="A40" s="129" t="s">
        <v>1075</v>
      </c>
      <c r="B40" s="129" t="s">
        <v>1076</v>
      </c>
      <c r="C40" s="119">
        <f>'3 lentele'!M245+'3 lentele'!M248+'3 lentele'!M249+'3 lentele'!M250+'3 lentele'!M251+'3 lentele'!M252+'3 lentele'!M253+'3 lentele'!M254</f>
        <v>374</v>
      </c>
      <c r="D40">
        <v>10</v>
      </c>
      <c r="E40" s="128"/>
      <c r="G40" s="122">
        <v>3</v>
      </c>
      <c r="I40" s="127"/>
      <c r="K40" s="124">
        <v>212</v>
      </c>
      <c r="M40" s="124">
        <v>15</v>
      </c>
      <c r="O40" s="126">
        <v>30</v>
      </c>
    </row>
    <row r="41" spans="1:15" ht="16.5" thickBot="1" x14ac:dyDescent="0.3">
      <c r="A41" s="129" t="s">
        <v>1077</v>
      </c>
      <c r="B41" s="129" t="s">
        <v>281</v>
      </c>
      <c r="C41" s="119">
        <f>'3 lentele'!M336+'3 lentele'!M353+'3 lentele'!M307+'3 lentele'!M308+'3 lentele'!M309+'3 lentele'!M311+'3 lentele'!M312+'3 lentele'!M313+'3 lentele'!M314+'3 lentele'!M315</f>
        <v>316627.5</v>
      </c>
      <c r="E41" s="128"/>
      <c r="G41" s="124"/>
      <c r="I41" s="127"/>
      <c r="K41" s="124"/>
      <c r="M41" s="124">
        <v>9500</v>
      </c>
      <c r="O41" s="126">
        <v>100</v>
      </c>
    </row>
    <row r="42" spans="1:15" ht="26.25" thickBot="1" x14ac:dyDescent="0.3">
      <c r="A42" s="129" t="s">
        <v>1078</v>
      </c>
      <c r="B42" s="129" t="s">
        <v>280</v>
      </c>
      <c r="C42" s="119">
        <f>'3 lentele'!P308+'3 lentele'!P336+'3 lentele'!P353</f>
        <v>255.37</v>
      </c>
      <c r="E42" s="128"/>
      <c r="G42" s="124"/>
      <c r="I42" s="127"/>
      <c r="K42" s="124"/>
      <c r="M42" s="124"/>
      <c r="O42" s="126"/>
    </row>
    <row r="43" spans="1:15" ht="39" thickBot="1" x14ac:dyDescent="0.3">
      <c r="A43" s="129" t="s">
        <v>1079</v>
      </c>
      <c r="B43" s="129" t="s">
        <v>1080</v>
      </c>
      <c r="C43" s="119">
        <v>0</v>
      </c>
      <c r="E43" s="128"/>
      <c r="G43" s="124"/>
      <c r="I43" s="127"/>
      <c r="K43" s="124"/>
      <c r="M43" s="124">
        <v>1</v>
      </c>
      <c r="O43" s="126">
        <v>1</v>
      </c>
    </row>
    <row r="44" spans="1:15" ht="26.25" thickBot="1" x14ac:dyDescent="0.3">
      <c r="A44" s="129" t="s">
        <v>1081</v>
      </c>
      <c r="B44" s="129" t="s">
        <v>120</v>
      </c>
      <c r="C44" s="119">
        <v>16</v>
      </c>
      <c r="E44" s="128"/>
      <c r="G44" s="124"/>
      <c r="I44" s="127"/>
      <c r="K44" s="124">
        <v>15</v>
      </c>
      <c r="M44" s="124"/>
      <c r="O44" s="126">
        <v>12</v>
      </c>
    </row>
    <row r="45" spans="1:15" ht="24.75" thickBot="1" x14ac:dyDescent="0.3">
      <c r="A45" s="131" t="s">
        <v>1082</v>
      </c>
      <c r="B45" s="130" t="s">
        <v>1083</v>
      </c>
      <c r="C45" s="119">
        <f>'3 lentele'!M201+'3 lentele'!M202+'3 lentele'!M203+'3 lentele'!M204+'3 lentele'!M205+'3 lentele'!M206</f>
        <v>27</v>
      </c>
      <c r="E45" s="128"/>
      <c r="G45" s="124"/>
      <c r="I45" s="127"/>
      <c r="K45" s="124"/>
      <c r="M45" s="124">
        <v>1</v>
      </c>
      <c r="O45" s="126">
        <v>2</v>
      </c>
    </row>
    <row r="46" spans="1:15" ht="39" thickBot="1" x14ac:dyDescent="0.3">
      <c r="A46" s="129" t="s">
        <v>1084</v>
      </c>
      <c r="B46" s="129" t="s">
        <v>1248</v>
      </c>
      <c r="C46" s="119">
        <f>'3 lentele'!P202+'3 lentele'!P203+'3 lentele'!P204+'3 lentele'!P205+'3 lentele'!P206</f>
        <v>178</v>
      </c>
      <c r="E46" s="128"/>
      <c r="G46" s="124"/>
      <c r="I46" s="127"/>
      <c r="K46" s="124"/>
      <c r="M46" s="124"/>
      <c r="O46" s="126"/>
    </row>
    <row r="47" spans="1:15" ht="26.25" thickBot="1" x14ac:dyDescent="0.3">
      <c r="A47" s="129" t="s">
        <v>279</v>
      </c>
      <c r="B47" s="129" t="s">
        <v>278</v>
      </c>
      <c r="C47" s="119">
        <f>D47+E47+F47+G47+I47+K47+M47+O47</f>
        <v>0</v>
      </c>
      <c r="E47" s="128"/>
      <c r="G47" s="124"/>
      <c r="I47" s="127"/>
      <c r="K47" s="124"/>
      <c r="M47" s="124"/>
      <c r="O47" s="126"/>
    </row>
    <row r="48" spans="1:15" ht="16.5" thickBot="1" x14ac:dyDescent="0.3">
      <c r="A48" s="129" t="s">
        <v>1249</v>
      </c>
      <c r="B48" s="129" t="s">
        <v>277</v>
      </c>
      <c r="C48" s="119">
        <v>152.66999999999999</v>
      </c>
      <c r="E48" s="128"/>
      <c r="G48" s="122">
        <v>4</v>
      </c>
      <c r="I48" s="127"/>
      <c r="K48" s="124"/>
      <c r="M48" s="124"/>
      <c r="O48" s="126"/>
    </row>
    <row r="49" spans="1:15" ht="26.25" thickBot="1" x14ac:dyDescent="0.3">
      <c r="A49" s="129" t="s">
        <v>1250</v>
      </c>
      <c r="B49" s="129" t="s">
        <v>1251</v>
      </c>
      <c r="C49" s="119">
        <f>'3 lentele'!P230+'3 lentele'!P232+'3 lentele'!P233+'3 lentele'!P234+'3 lentele'!P235+'3 lentele'!P236+'3 lentele'!P239+'3 lentele'!P241+'3 lentele'!P242</f>
        <v>478</v>
      </c>
      <c r="E49" s="128"/>
      <c r="G49" s="124"/>
      <c r="I49" s="127"/>
      <c r="K49" s="124"/>
      <c r="M49" s="124"/>
      <c r="O49" s="126">
        <v>30</v>
      </c>
    </row>
    <row r="50" spans="1:15" ht="27" thickBot="1" x14ac:dyDescent="0.3">
      <c r="A50" s="120" t="s">
        <v>276</v>
      </c>
      <c r="B50" s="121" t="s">
        <v>275</v>
      </c>
      <c r="C50" s="119">
        <v>0</v>
      </c>
      <c r="K50" s="122">
        <v>2101850</v>
      </c>
      <c r="M50" s="125"/>
    </row>
    <row r="51" spans="1:15" ht="27" thickBot="1" x14ac:dyDescent="0.3">
      <c r="A51" s="120" t="s">
        <v>274</v>
      </c>
      <c r="B51" s="121" t="s">
        <v>273</v>
      </c>
      <c r="C51" s="119">
        <f>'3 lentele'!M260+'3 lentele'!M261+'3 lentele'!M262+'3 lentele'!M263+'3 lentele'!M264+'3 lentele'!M265+'3 lentele'!M266+'3 lentele'!M267</f>
        <v>14546</v>
      </c>
      <c r="K51" s="122">
        <v>32671</v>
      </c>
    </row>
    <row r="52" spans="1:15" ht="27" thickBot="1" x14ac:dyDescent="0.3">
      <c r="A52" s="120" t="s">
        <v>1165</v>
      </c>
      <c r="B52" s="121" t="s">
        <v>436</v>
      </c>
      <c r="C52" s="119">
        <f>'3 lentele'!M279+'3 lentele'!M280+'3 lentele'!M281</f>
        <v>3</v>
      </c>
      <c r="K52" s="122">
        <v>2</v>
      </c>
    </row>
    <row r="53" spans="1:15" ht="16.5" thickBot="1" x14ac:dyDescent="0.3">
      <c r="A53" s="123" t="s">
        <v>1169</v>
      </c>
      <c r="B53" s="121" t="s">
        <v>1170</v>
      </c>
      <c r="C53" s="119">
        <v>9</v>
      </c>
      <c r="K53" s="122">
        <v>6</v>
      </c>
    </row>
    <row r="54" spans="1:15" ht="16.5" thickBot="1" x14ac:dyDescent="0.3">
      <c r="A54" s="123" t="s">
        <v>272</v>
      </c>
      <c r="B54" s="121" t="s">
        <v>271</v>
      </c>
      <c r="C54" s="119">
        <v>0</v>
      </c>
      <c r="K54" s="122">
        <v>354</v>
      </c>
    </row>
    <row r="55" spans="1:15" ht="16.5" thickBot="1" x14ac:dyDescent="0.3">
      <c r="A55" s="123" t="s">
        <v>104</v>
      </c>
      <c r="B55" s="121" t="s">
        <v>1171</v>
      </c>
      <c r="C55" s="119">
        <v>2</v>
      </c>
      <c r="K55" s="122">
        <v>33.6</v>
      </c>
      <c r="M55" s="124">
        <v>2</v>
      </c>
    </row>
    <row r="56" spans="1:15" ht="16.5" thickBot="1" x14ac:dyDescent="0.3">
      <c r="A56" s="123" t="s">
        <v>270</v>
      </c>
      <c r="B56" s="121" t="s">
        <v>269</v>
      </c>
      <c r="C56" s="119">
        <v>0</v>
      </c>
      <c r="K56" s="122">
        <v>140</v>
      </c>
    </row>
    <row r="57" spans="1:15" ht="16.5" thickBot="1" x14ac:dyDescent="0.3">
      <c r="A57" s="123" t="s">
        <v>1161</v>
      </c>
      <c r="B57" s="121" t="s">
        <v>1162</v>
      </c>
      <c r="C57" s="119">
        <f>'3 lentele'!S154+'3 lentele'!S155+'3 lentele'!S156+'3 lentele'!S161+'3 lentele'!S162+'3 lentele'!S163+'3 lentele'!S164+'3 lentele'!P183+'3 lentele'!M194+'3 lentele'!M195+'3 lentele'!M196+'3 lentele'!P212+'3 lentele'!P213+'3 lentele'!S214+'3 lentele'!S215+'3 lentele'!S216+'3 lentele'!P217+'3 lentele'!M218+'3 lentele'!M219+'3 lentele'!M220+'3 lentele'!P165+'3 lentele'!P166+'3 lentele'!P167+'3 lentele'!P170+'3 lentele'!P180+'3 lentele'!P182+'3 lentele'!P184+'3 lentele'!P197+'3 lentele'!P198</f>
        <v>11107</v>
      </c>
      <c r="K57" s="122">
        <v>6271</v>
      </c>
    </row>
    <row r="58" spans="1:15" ht="16.5" thickBot="1" x14ac:dyDescent="0.3">
      <c r="A58" s="121" t="s">
        <v>268</v>
      </c>
      <c r="B58" s="121" t="s">
        <v>267</v>
      </c>
      <c r="C58" s="119">
        <v>0</v>
      </c>
      <c r="K58" s="122">
        <v>2176</v>
      </c>
    </row>
    <row r="59" spans="1:15" ht="15.75" x14ac:dyDescent="0.25">
      <c r="A59" s="120" t="s">
        <v>266</v>
      </c>
      <c r="B59" s="120" t="s">
        <v>1179</v>
      </c>
      <c r="C59" s="119">
        <v>5</v>
      </c>
      <c r="M59">
        <v>4</v>
      </c>
    </row>
    <row r="60" spans="1:15" ht="15.75" x14ac:dyDescent="0.25">
      <c r="A60" s="120" t="s">
        <v>1387</v>
      </c>
      <c r="B60" s="120" t="s">
        <v>1460</v>
      </c>
      <c r="C60" s="119">
        <f>'3 lentele'!P66+'3 lentele'!S67+'3 lentele'!P68+'3 lentele'!P69+'3 lentele'!S71+'3 lentele'!S72+'3 lentele'!P73+'3 lentele'!P74+'3 lentele'!P75+'3 lentele'!S78+'3 lentele'!S79+'3 lentele'!S80+'3 lentele'!S81+'3 lentele'!P83+'3 lentele'!P84+'3 lentele'!P85</f>
        <v>1.0462658440000001</v>
      </c>
    </row>
    <row r="61" spans="1:15" ht="15.75" x14ac:dyDescent="0.25">
      <c r="A61" s="120" t="s">
        <v>1466</v>
      </c>
      <c r="B61" s="120" t="s">
        <v>1467</v>
      </c>
      <c r="C61" s="119">
        <f>'3 lentele'!M73</f>
        <v>0.5</v>
      </c>
    </row>
    <row r="62" spans="1:15" ht="15.75" x14ac:dyDescent="0.25">
      <c r="A62" s="120" t="s">
        <v>117</v>
      </c>
      <c r="B62" s="120" t="s">
        <v>1459</v>
      </c>
      <c r="C62" s="119">
        <f>'3 lentele'!M138+'3 lentele'!M139+'3 lentele'!M140</f>
        <v>1347</v>
      </c>
    </row>
    <row r="63" spans="1:15" ht="15.75" x14ac:dyDescent="0.25">
      <c r="A63" s="120" t="s">
        <v>1690</v>
      </c>
      <c r="B63" s="120" t="s">
        <v>1691</v>
      </c>
      <c r="C63" s="119">
        <f>'3 lentele'!S203+'3 lentele'!S204+'3 lentele'!S206</f>
        <v>3</v>
      </c>
    </row>
    <row r="64" spans="1:15" ht="25.5" x14ac:dyDescent="0.25">
      <c r="A64" s="120" t="s">
        <v>1445</v>
      </c>
      <c r="B64" s="120" t="s">
        <v>265</v>
      </c>
      <c r="C64" s="119">
        <v>3</v>
      </c>
    </row>
    <row r="65" spans="1:3" ht="15.75" x14ac:dyDescent="0.25">
      <c r="A65" s="120" t="s">
        <v>31</v>
      </c>
      <c r="B65" s="120" t="s">
        <v>32</v>
      </c>
      <c r="C65" s="119">
        <f>'3 lentele'!S230+'3 lentele'!S232+'3 lentele'!S233+'3 lentele'!S234+'3 lentele'!S235+'3 lentele'!S236+'3 lentele'!S239+'3 lentele'!S241+'3 lentele'!S242</f>
        <v>299</v>
      </c>
    </row>
    <row r="66" spans="1:3" ht="15.75" x14ac:dyDescent="0.25">
      <c r="A66" s="120" t="s">
        <v>74</v>
      </c>
      <c r="B66" s="120" t="s">
        <v>1341</v>
      </c>
      <c r="C66" s="119">
        <v>100</v>
      </c>
    </row>
    <row r="67" spans="1:3" ht="15.75" x14ac:dyDescent="0.25">
      <c r="A67" s="120"/>
      <c r="B67" s="120" t="s">
        <v>1491</v>
      </c>
      <c r="C67" s="119">
        <f>'3 lentele'!M327+'3 lentele'!M328+'3 lentele'!M329+'3 lentele'!M337+'3 lentele'!M339+'3 lentele'!M340+'3 lentele'!M341+'3 lentele'!M342+'3 lentele'!M344+'3 lentele'!M345+'3 lentele'!M346+'3 lentele'!M347+'3 lentele'!M348+'3 lentele'!M349+'3 lentele'!M352+'3 lentele'!M354+'3 lentele'!M355+'3 lentele'!M356+'3 lentele'!M357+'3 lentele'!M358+'3 lentele'!M359+'3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f>
        <v>90</v>
      </c>
    </row>
    <row r="68" spans="1:3" ht="15.75" x14ac:dyDescent="0.25">
      <c r="A68" s="120"/>
      <c r="B68" s="120" t="s">
        <v>113</v>
      </c>
      <c r="C68" s="119">
        <f>'3 lentele'!P327+'3 lentele'!P328+'3 lentele'!P329+'3 lentele'!M331+'3 lentele'!P337+'3 lentele'!M338+'3 lentele'!P339+'3 lentele'!P340+'3 lentele'!P341+'3 lentele'!P342+'3 lentele'!M343+'3 lentele'!P344+'3 lentele'!P345+'3 lentele'!P346+'3 lentele'!P347+'3 lentele'!P348+'3 lentele'!P349+'3 lentele'!M350+'3 lentele'!M351+'3 lentele'!P352+'3 lentele'!P354+'3 lentele'!P355+'3 lentele'!P356+'3 lentele'!P357+'3 lentele'!P358+'3 lentele'!P359+'3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f>
        <v>29415</v>
      </c>
    </row>
    <row r="69" spans="1:3" ht="15.75" x14ac:dyDescent="0.25">
      <c r="A69" s="120"/>
      <c r="B69" s="120" t="s">
        <v>114</v>
      </c>
      <c r="C69" s="119">
        <f>'3 lentele'!S327+'3 lentele'!S328+'3 lentele'!S329+'3 lentele'!P331+'3 lentele'!S337+'3 lentele'!P338+'3 lentele'!S339+'3 lentele'!S340+'3 lentele'!S341+'3 lentele'!S342+'3 lentele'!P343+'3 lentele'!S344+'3 lentele'!S345+'3 lentele'!S346+'3 lentele'!S347+'3 lentele'!S348+'3 lentele'!S349+'3 lentele'!P350+'3 lentele'!P351+'3 lentele'!S352+'3 lentele'!S354+'3 lentele'!S355+'3 lentele'!S356+'3 lentele'!S358+'3 lentele'!S359+'3 lentele'!S360+'3 lentele'!S361+'3 lentele'!S362+'3 lentele'!S363+'3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lentele'!S357</f>
        <v>66</v>
      </c>
    </row>
    <row r="70" spans="1:3" ht="15.75" x14ac:dyDescent="0.25">
      <c r="A70" s="120" t="s">
        <v>1427</v>
      </c>
      <c r="B70" s="120" t="s">
        <v>1428</v>
      </c>
      <c r="C70" s="119">
        <v>1</v>
      </c>
    </row>
    <row r="71" spans="1:3" ht="15.75" x14ac:dyDescent="0.25">
      <c r="A71" s="120" t="s">
        <v>1429</v>
      </c>
      <c r="B71" s="120" t="s">
        <v>1430</v>
      </c>
      <c r="C71" s="119">
        <v>1</v>
      </c>
    </row>
    <row r="72" spans="1:3" ht="15.75" x14ac:dyDescent="0.25">
      <c r="A72" s="121" t="s">
        <v>126</v>
      </c>
      <c r="B72" s="121" t="s">
        <v>1393</v>
      </c>
      <c r="C72" s="119">
        <v>0.79259999999999997</v>
      </c>
    </row>
    <row r="73" spans="1:3" ht="15.75" x14ac:dyDescent="0.25">
      <c r="A73" s="121" t="s">
        <v>1394</v>
      </c>
      <c r="B73" s="121" t="s">
        <v>1395</v>
      </c>
      <c r="C73" s="119">
        <v>4</v>
      </c>
    </row>
    <row r="74" spans="1:3" ht="15.75" x14ac:dyDescent="0.25">
      <c r="A74" s="121" t="s">
        <v>70</v>
      </c>
      <c r="B74" s="121" t="s">
        <v>71</v>
      </c>
      <c r="C74" s="119">
        <v>2</v>
      </c>
    </row>
    <row r="75" spans="1:3" ht="15.75" x14ac:dyDescent="0.25">
      <c r="A75" s="120"/>
      <c r="B75" s="120" t="s">
        <v>1172</v>
      </c>
      <c r="C75" s="119">
        <v>2</v>
      </c>
    </row>
    <row r="76" spans="1:3" ht="15.75" x14ac:dyDescent="0.25">
      <c r="A76" s="120"/>
      <c r="B76" s="120" t="s">
        <v>1173</v>
      </c>
      <c r="C76" s="119">
        <v>1</v>
      </c>
    </row>
    <row r="77" spans="1:3" ht="15.75" x14ac:dyDescent="0.25">
      <c r="A77" s="120"/>
      <c r="B77" s="120" t="s">
        <v>1174</v>
      </c>
      <c r="C77" s="119">
        <v>1</v>
      </c>
    </row>
    <row r="78" spans="1:3" ht="15.75" x14ac:dyDescent="0.25">
      <c r="A78" s="120"/>
      <c r="B78" s="120" t="s">
        <v>1175</v>
      </c>
      <c r="C78" s="119">
        <v>1</v>
      </c>
    </row>
    <row r="79" spans="1:3" ht="15.75" x14ac:dyDescent="0.25">
      <c r="A79" s="120"/>
      <c r="B79" s="120" t="s">
        <v>1176</v>
      </c>
      <c r="C79" s="119">
        <v>1</v>
      </c>
    </row>
    <row r="80" spans="1:3" ht="15.75" x14ac:dyDescent="0.25">
      <c r="A80" s="120"/>
      <c r="B80" s="120" t="s">
        <v>1230</v>
      </c>
      <c r="C80" s="119">
        <v>1</v>
      </c>
    </row>
    <row r="81" spans="1:3" ht="15.75" x14ac:dyDescent="0.25">
      <c r="A81" s="120"/>
      <c r="B81" s="120" t="s">
        <v>1231</v>
      </c>
      <c r="C81" s="119">
        <v>2</v>
      </c>
    </row>
    <row r="82" spans="1:3" ht="25.5" x14ac:dyDescent="0.25">
      <c r="A82" s="120" t="s">
        <v>367</v>
      </c>
      <c r="B82" s="120" t="s">
        <v>368</v>
      </c>
      <c r="C82" s="119">
        <f>'3 lentele'!M162+'3 lentele'!M164+'3 lentele'!S165+'3 lentele'!S166+'3 lentele'!S167+'3 lentele'!S180+'3 lentele'!S182+'3 lentele'!S184+'3 lentele'!S197+'3 lentele'!S198</f>
        <v>398</v>
      </c>
    </row>
    <row r="83" spans="1:3" ht="25.5" x14ac:dyDescent="0.25">
      <c r="A83" s="120" t="s">
        <v>369</v>
      </c>
      <c r="B83" s="120" t="s">
        <v>370</v>
      </c>
      <c r="C83" s="119">
        <f>'3 lentele'!V162+'3 lentele'!V164+'3 lentele'!V165+'3 lentele'!V166+'3 lentele'!V167+'3 lentele'!V170+'3 lentele'!V180+'3 lentele'!V182+'3 lentele'!V184+'3 lentele'!V197+'3 lentele'!V198</f>
        <v>48</v>
      </c>
    </row>
    <row r="84" spans="1:3" ht="15.75" x14ac:dyDescent="0.25">
      <c r="A84" s="120" t="s">
        <v>432</v>
      </c>
      <c r="B84" s="120" t="s">
        <v>431</v>
      </c>
      <c r="C84" s="119">
        <v>0</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76" firstPageNumber="174" fitToHeight="0" orientation="portrait" useFirstPageNumber="1" r:id="rId1"/>
  <headerFooter>
    <oddHeader>&amp;L&amp;G&amp;RKauno regiono plėtros planas iki 2020 metų</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34" workbookViewId="0">
      <selection activeCell="G40" sqref="G40"/>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2" t="s">
        <v>439</v>
      </c>
      <c r="I1" s="502"/>
      <c r="J1" s="502"/>
      <c r="K1" s="502"/>
    </row>
    <row r="2" spans="1:11" ht="15.75" x14ac:dyDescent="0.25">
      <c r="H2" s="503" t="s">
        <v>440</v>
      </c>
      <c r="I2" s="503"/>
      <c r="J2" s="503"/>
      <c r="K2" s="503"/>
    </row>
    <row r="3" spans="1:11" ht="15.75" x14ac:dyDescent="0.25">
      <c r="H3" s="503" t="s">
        <v>441</v>
      </c>
      <c r="I3" s="503"/>
      <c r="J3" s="503"/>
      <c r="K3" s="503"/>
    </row>
    <row r="5" spans="1:11" ht="15.75" x14ac:dyDescent="0.25">
      <c r="A5" s="154" t="s">
        <v>1100</v>
      </c>
    </row>
    <row r="6" spans="1:11" ht="15.75" x14ac:dyDescent="0.25">
      <c r="A6" s="154" t="s">
        <v>1101</v>
      </c>
    </row>
    <row r="7" spans="1:11" ht="15.75" x14ac:dyDescent="0.25">
      <c r="A7" s="320"/>
      <c r="B7" s="321" t="s">
        <v>307</v>
      </c>
      <c r="C7" s="161">
        <v>2013</v>
      </c>
      <c r="D7" s="161">
        <v>2014</v>
      </c>
      <c r="E7" s="161">
        <v>2015</v>
      </c>
      <c r="F7" s="161">
        <v>2016</v>
      </c>
      <c r="G7" s="161">
        <v>2017</v>
      </c>
      <c r="H7" s="161">
        <v>2018</v>
      </c>
      <c r="I7" s="161">
        <v>2019</v>
      </c>
      <c r="J7" s="161">
        <v>2020</v>
      </c>
      <c r="K7" s="162" t="s">
        <v>306</v>
      </c>
    </row>
    <row r="8" spans="1:11" ht="51" x14ac:dyDescent="0.25">
      <c r="A8" s="322" t="s">
        <v>1102</v>
      </c>
      <c r="B8" s="322" t="s">
        <v>305</v>
      </c>
      <c r="C8" s="161"/>
      <c r="D8" s="159"/>
      <c r="E8" s="160"/>
      <c r="F8" s="159"/>
      <c r="G8" s="159"/>
      <c r="H8" s="159"/>
      <c r="I8" s="159"/>
      <c r="J8" s="159"/>
      <c r="K8" s="159"/>
    </row>
    <row r="9" spans="1:11" ht="31.5" x14ac:dyDescent="0.25">
      <c r="A9" s="157" t="s">
        <v>105</v>
      </c>
      <c r="B9" s="325" t="s">
        <v>1113</v>
      </c>
      <c r="C9" s="155">
        <v>0</v>
      </c>
      <c r="D9" s="155">
        <v>0</v>
      </c>
      <c r="E9" s="158">
        <v>0</v>
      </c>
      <c r="F9" s="155">
        <v>0</v>
      </c>
      <c r="G9" s="158">
        <v>0</v>
      </c>
      <c r="H9" s="155">
        <f>'2 lentele'!K443+'2 lentele'!K444</f>
        <v>1152000</v>
      </c>
      <c r="I9" s="158">
        <v>0</v>
      </c>
      <c r="J9" s="155">
        <v>0</v>
      </c>
      <c r="K9" s="158">
        <f>SUM(C9:J9)</f>
        <v>1152000</v>
      </c>
    </row>
    <row r="10" spans="1:11" ht="16.5" customHeight="1" x14ac:dyDescent="0.25">
      <c r="A10" s="157" t="s">
        <v>1237</v>
      </c>
      <c r="B10" s="325" t="s">
        <v>1114</v>
      </c>
      <c r="C10" s="155">
        <v>0</v>
      </c>
      <c r="D10" s="155">
        <v>0</v>
      </c>
      <c r="E10" s="158">
        <v>0</v>
      </c>
      <c r="F10" s="155">
        <v>0</v>
      </c>
      <c r="G10" s="158">
        <f>'2 lentele'!K88</f>
        <v>1127570.5900000001</v>
      </c>
      <c r="H10" s="155">
        <f>'2 lentele'!K68+'2 lentele'!K92+'2 lentele'!K98</f>
        <v>1127570.82</v>
      </c>
      <c r="I10" s="158">
        <v>0</v>
      </c>
      <c r="J10" s="155">
        <v>0</v>
      </c>
      <c r="K10" s="158">
        <f t="shared" ref="K10:K44" si="0">SUM(C10:J10)</f>
        <v>2255141.41</v>
      </c>
    </row>
    <row r="11" spans="1:11" ht="31.5" x14ac:dyDescent="0.25">
      <c r="A11" s="157" t="s">
        <v>1238</v>
      </c>
      <c r="B11" s="325" t="s">
        <v>1115</v>
      </c>
      <c r="C11" s="155">
        <v>0</v>
      </c>
      <c r="D11" s="155">
        <v>0</v>
      </c>
      <c r="E11" s="155">
        <v>0</v>
      </c>
      <c r="F11" s="155">
        <v>0</v>
      </c>
      <c r="G11" s="155">
        <f>'2 lentele'!K97+'2 lentele'!K102+'2 lentele'!K103</f>
        <v>727481.83</v>
      </c>
      <c r="H11" s="155">
        <f>'2 lentele'!K96+'2 lentele'!K99+'2 lentele'!K100+'2 lentele'!K104+'2 lentele'!K106</f>
        <v>977363.42000000016</v>
      </c>
      <c r="I11" s="155">
        <f>'2 lentele'!K101+'2 lentele'!K105</f>
        <v>410476</v>
      </c>
      <c r="J11" s="155">
        <v>0</v>
      </c>
      <c r="K11" s="158">
        <f t="shared" si="0"/>
        <v>2115321.25</v>
      </c>
    </row>
    <row r="12" spans="1:11" ht="63" x14ac:dyDescent="0.25">
      <c r="A12" s="157" t="s">
        <v>45</v>
      </c>
      <c r="B12" s="325" t="s">
        <v>1116</v>
      </c>
      <c r="C12" s="155">
        <v>0</v>
      </c>
      <c r="D12" s="155">
        <v>0</v>
      </c>
      <c r="E12" s="155">
        <v>0</v>
      </c>
      <c r="F12" s="155">
        <v>0</v>
      </c>
      <c r="G12" s="155">
        <v>0</v>
      </c>
      <c r="H12" s="155">
        <f>'2 lentele'!K108</f>
        <v>574531.24</v>
      </c>
      <c r="I12" s="155">
        <f>'2 lentele'!K109</f>
        <v>580492.01</v>
      </c>
      <c r="J12" s="155">
        <v>0</v>
      </c>
      <c r="K12" s="158">
        <f t="shared" si="0"/>
        <v>1155023.25</v>
      </c>
    </row>
    <row r="13" spans="1:11" ht="31.5" x14ac:dyDescent="0.25">
      <c r="A13" s="157" t="s">
        <v>1402</v>
      </c>
      <c r="B13" s="325" t="s">
        <v>1117</v>
      </c>
      <c r="C13" s="155">
        <v>0</v>
      </c>
      <c r="D13" s="155">
        <v>0</v>
      </c>
      <c r="E13" s="158">
        <v>0</v>
      </c>
      <c r="F13" s="155">
        <f>'2 lentele'!K87</f>
        <v>17545</v>
      </c>
      <c r="G13" s="158">
        <f>'2 lentele'!K93</f>
        <v>15050</v>
      </c>
      <c r="H13" s="155">
        <f>'2 lentele'!K94</f>
        <v>241177</v>
      </c>
      <c r="I13" s="158">
        <v>0</v>
      </c>
      <c r="J13" s="155">
        <v>0</v>
      </c>
      <c r="K13" s="158">
        <f t="shared" si="0"/>
        <v>273772</v>
      </c>
    </row>
    <row r="14" spans="1:11" ht="47.25" x14ac:dyDescent="0.25">
      <c r="A14" s="157" t="s">
        <v>1422</v>
      </c>
      <c r="B14" s="325" t="s">
        <v>1118</v>
      </c>
      <c r="C14" s="155">
        <v>0</v>
      </c>
      <c r="D14" s="155">
        <v>0</v>
      </c>
      <c r="E14" s="158">
        <v>0</v>
      </c>
      <c r="F14" s="155">
        <v>0</v>
      </c>
      <c r="G14" s="158">
        <f>'2 lentele'!K450</f>
        <v>8274858</v>
      </c>
      <c r="H14" s="155">
        <v>0</v>
      </c>
      <c r="I14" s="158">
        <v>0</v>
      </c>
      <c r="J14" s="155">
        <v>0</v>
      </c>
      <c r="K14" s="158">
        <f t="shared" si="0"/>
        <v>8274858</v>
      </c>
    </row>
    <row r="15" spans="1:11" ht="31.5" x14ac:dyDescent="0.25">
      <c r="A15" s="157" t="s">
        <v>47</v>
      </c>
      <c r="B15" s="325" t="s">
        <v>1267</v>
      </c>
      <c r="C15" s="155">
        <v>0</v>
      </c>
      <c r="D15" s="155">
        <v>0</v>
      </c>
      <c r="E15" s="155">
        <v>0</v>
      </c>
      <c r="F15" s="155">
        <v>0</v>
      </c>
      <c r="G15" s="155">
        <f>'2 lentele'!K302+'2 lentele'!K303+'2 lentele'!K308</f>
        <v>18437562.079999998</v>
      </c>
      <c r="H15" s="155">
        <v>0</v>
      </c>
      <c r="I15" s="155">
        <v>0</v>
      </c>
      <c r="J15" s="155">
        <v>0</v>
      </c>
      <c r="K15" s="158">
        <f t="shared" si="0"/>
        <v>18437562.079999998</v>
      </c>
    </row>
    <row r="16" spans="1:11" ht="47.25" x14ac:dyDescent="0.25">
      <c r="A16" s="157" t="s">
        <v>1384</v>
      </c>
      <c r="B16" s="325" t="s">
        <v>1268</v>
      </c>
      <c r="C16" s="155">
        <v>0</v>
      </c>
      <c r="D16" s="155">
        <v>0</v>
      </c>
      <c r="E16" s="155">
        <v>0</v>
      </c>
      <c r="F16" s="155">
        <v>0</v>
      </c>
      <c r="G16" s="155">
        <f>'2 lentele'!K396+'2 lentele'!K397+'2 lentele'!K398+'2 lentele'!K399+'2 lentele'!K400+'2 lentele'!K401+'2 lentele'!K402</f>
        <v>19236904.050000001</v>
      </c>
      <c r="H16" s="155">
        <v>0</v>
      </c>
      <c r="I16" s="155">
        <v>0</v>
      </c>
      <c r="J16" s="155">
        <v>0</v>
      </c>
      <c r="K16" s="158">
        <f t="shared" si="0"/>
        <v>19236904.050000001</v>
      </c>
    </row>
    <row r="17" spans="1:11" ht="94.5" x14ac:dyDescent="0.25">
      <c r="A17" s="157" t="s">
        <v>1235</v>
      </c>
      <c r="B17" s="325" t="s">
        <v>1269</v>
      </c>
      <c r="C17" s="155">
        <v>0</v>
      </c>
      <c r="D17" s="155">
        <v>0</v>
      </c>
      <c r="E17" s="158">
        <v>0</v>
      </c>
      <c r="F17" s="155">
        <f>'2 lentele'!K415</f>
        <v>6546671.6399999997</v>
      </c>
      <c r="G17" s="158">
        <f>'2 lentele'!K416+'2 lentele'!K417+'2 lentele'!K418+'2 lentele'!K419+'2 lentele'!K428+'2 lentele'!K430+'2 lentele'!K432+'2 lentele'!K433+'2 lentele'!K434+'2 lentele'!K411</f>
        <v>39765778.469999999</v>
      </c>
      <c r="H17" s="155">
        <f>'2 lentele'!K420+'2 lentele'!K421+'2 lentele'!K422+'2 lentele'!K423+'2 lentele'!K424+'2 lentele'!K425+'2 lentele'!K426+'2 lentele'!K199+'2 lentele'!K413+'2 lentele'!K429</f>
        <v>8366440.7300000004</v>
      </c>
      <c r="I17" s="158">
        <f>'2 lentele'!K427+'2 lentele'!K435+'2 lentele'!K436+'2 lentele'!K437+'2 lentele'!K412</f>
        <v>10655744.82</v>
      </c>
      <c r="J17" s="155">
        <v>0</v>
      </c>
      <c r="K17" s="158">
        <f t="shared" si="0"/>
        <v>65334635.660000004</v>
      </c>
    </row>
    <row r="18" spans="1:11" ht="47.25" x14ac:dyDescent="0.25">
      <c r="A18" s="157" t="s">
        <v>125</v>
      </c>
      <c r="B18" s="325" t="s">
        <v>1270</v>
      </c>
      <c r="C18" s="155">
        <v>0</v>
      </c>
      <c r="D18" s="155">
        <v>0</v>
      </c>
      <c r="E18" s="158">
        <v>0</v>
      </c>
      <c r="F18" s="155">
        <f>'2 lentele'!K431+'2 lentele'!K438</f>
        <v>5875807.2799999993</v>
      </c>
      <c r="G18" s="158">
        <v>0</v>
      </c>
      <c r="H18" s="155">
        <v>0</v>
      </c>
      <c r="I18" s="158">
        <v>0</v>
      </c>
      <c r="J18" s="155">
        <v>0</v>
      </c>
      <c r="K18" s="158">
        <f t="shared" si="0"/>
        <v>5875807.2799999993</v>
      </c>
    </row>
    <row r="19" spans="1:11" ht="78.75" x14ac:dyDescent="0.25">
      <c r="A19" s="157" t="s">
        <v>90</v>
      </c>
      <c r="B19" s="325" t="s">
        <v>1271</v>
      </c>
      <c r="C19" s="155">
        <v>0</v>
      </c>
      <c r="D19" s="155">
        <v>0</v>
      </c>
      <c r="E19" s="155">
        <v>0</v>
      </c>
      <c r="F19" s="155">
        <f>'2 lentele'!K114</f>
        <v>11584800</v>
      </c>
      <c r="G19" s="155">
        <v>0</v>
      </c>
      <c r="H19" s="155">
        <v>0</v>
      </c>
      <c r="I19" s="155">
        <v>0</v>
      </c>
      <c r="J19" s="155">
        <v>0</v>
      </c>
      <c r="K19" s="158">
        <f t="shared" si="0"/>
        <v>11584800</v>
      </c>
    </row>
    <row r="20" spans="1:11" ht="47.25" x14ac:dyDescent="0.25">
      <c r="A20" s="157" t="s">
        <v>34</v>
      </c>
      <c r="B20" s="325" t="s">
        <v>1272</v>
      </c>
      <c r="C20" s="155">
        <v>0</v>
      </c>
      <c r="D20" s="155">
        <v>0</v>
      </c>
      <c r="E20" s="155">
        <v>0</v>
      </c>
      <c r="F20" s="155">
        <v>0</v>
      </c>
      <c r="G20" s="155">
        <f>'2 lentele'!K113+'2 lentele'!K115+'2 lentele'!K116+'2 lentele'!K122+'2 lentele'!K123+'2 lentele'!K124+'2 lentele'!K125</f>
        <v>5906862.6499999994</v>
      </c>
      <c r="H20" s="155">
        <v>0</v>
      </c>
      <c r="I20" s="155">
        <v>0</v>
      </c>
      <c r="J20" s="155">
        <v>0</v>
      </c>
      <c r="K20" s="158">
        <f t="shared" si="0"/>
        <v>5906862.6499999994</v>
      </c>
    </row>
    <row r="21" spans="1:11" ht="63" x14ac:dyDescent="0.25">
      <c r="A21" s="157" t="s">
        <v>1448</v>
      </c>
      <c r="B21" s="325" t="s">
        <v>1273</v>
      </c>
      <c r="C21" s="155">
        <v>0</v>
      </c>
      <c r="D21" s="155">
        <v>0</v>
      </c>
      <c r="E21" s="158">
        <v>0</v>
      </c>
      <c r="F21" s="155">
        <v>0</v>
      </c>
      <c r="G21" s="158">
        <f>'2 lentele'!K136+'2 lentele'!K137</f>
        <v>525362.36</v>
      </c>
      <c r="H21" s="155">
        <f>'2 lentele'!K138</f>
        <v>443488.18</v>
      </c>
      <c r="I21" s="158">
        <v>0</v>
      </c>
      <c r="J21" s="155">
        <v>0</v>
      </c>
      <c r="K21" s="158">
        <f t="shared" si="0"/>
        <v>968850.54</v>
      </c>
    </row>
    <row r="22" spans="1:11" ht="15.75" x14ac:dyDescent="0.25">
      <c r="A22" s="157" t="s">
        <v>1386</v>
      </c>
      <c r="B22" s="325" t="s">
        <v>1274</v>
      </c>
      <c r="C22" s="155">
        <v>0</v>
      </c>
      <c r="D22" s="155">
        <v>0</v>
      </c>
      <c r="E22" s="158">
        <v>0</v>
      </c>
      <c r="F22" s="155">
        <v>0</v>
      </c>
      <c r="G22" s="158">
        <f>'2 lentele'!K456+'2 lentele'!K460+'2 lentele'!K465+'2 lentele'!K466+'2 lentele'!K468+'2 lentele'!K473+'2 lentele'!K474+'2 lentele'!K475</f>
        <v>1662782.35</v>
      </c>
      <c r="H22" s="155">
        <f>'2 lentele'!K461+'2 lentele'!K469</f>
        <v>514173.03</v>
      </c>
      <c r="I22" s="158">
        <f>'2 lentele'!K467</f>
        <v>88678.399999999994</v>
      </c>
      <c r="J22" s="155">
        <v>0</v>
      </c>
      <c r="K22" s="158">
        <f t="shared" si="0"/>
        <v>2265633.7799999998</v>
      </c>
    </row>
    <row r="23" spans="1:11" ht="31.5" x14ac:dyDescent="0.25">
      <c r="A23" s="157" t="s">
        <v>304</v>
      </c>
      <c r="B23" s="325" t="s">
        <v>1275</v>
      </c>
      <c r="C23" s="155">
        <v>0</v>
      </c>
      <c r="D23" s="155">
        <v>0</v>
      </c>
      <c r="E23" s="155">
        <v>0</v>
      </c>
      <c r="F23" s="155">
        <f>'2 lentele'!K405</f>
        <v>2062955.63</v>
      </c>
      <c r="G23" s="155">
        <v>0</v>
      </c>
      <c r="H23" s="155">
        <v>0</v>
      </c>
      <c r="I23" s="155">
        <v>0</v>
      </c>
      <c r="J23" s="155">
        <v>0</v>
      </c>
      <c r="K23" s="158">
        <f t="shared" si="0"/>
        <v>2062955.63</v>
      </c>
    </row>
    <row r="24" spans="1:11" ht="31.5" x14ac:dyDescent="0.25">
      <c r="A24" s="157" t="s">
        <v>303</v>
      </c>
      <c r="B24" s="325" t="s">
        <v>1277</v>
      </c>
      <c r="C24" s="155">
        <v>0</v>
      </c>
      <c r="D24" s="155">
        <v>0</v>
      </c>
      <c r="E24" s="155">
        <v>0</v>
      </c>
      <c r="F24" s="155">
        <f>'2 lentele'!K457</f>
        <v>430002.16</v>
      </c>
      <c r="G24" s="155">
        <f>'2 lentele'!K458+'2 lentele'!K459</f>
        <v>813091.72</v>
      </c>
      <c r="H24" s="155">
        <v>0</v>
      </c>
      <c r="I24" s="155">
        <v>0</v>
      </c>
      <c r="J24" s="155">
        <v>0</v>
      </c>
      <c r="K24" s="158">
        <f t="shared" si="0"/>
        <v>1243093.8799999999</v>
      </c>
    </row>
    <row r="25" spans="1:11" ht="15.75" x14ac:dyDescent="0.25">
      <c r="A25" s="157" t="s">
        <v>1236</v>
      </c>
      <c r="B25" s="325" t="s">
        <v>1278</v>
      </c>
      <c r="C25" s="155">
        <v>0</v>
      </c>
      <c r="D25" s="155">
        <v>0</v>
      </c>
      <c r="E25" s="158">
        <v>0</v>
      </c>
      <c r="F25" s="155">
        <f>'2 lentele'!K65</f>
        <v>1495093.12</v>
      </c>
      <c r="G25" s="158">
        <f>'2 lentele'!K64+'2 lentele'!K67+'2 lentele'!K75+'2 lentele'!K77+'2 lentele'!K85</f>
        <v>2904590.1099999994</v>
      </c>
      <c r="H25" s="155">
        <f>'2 lentele'!K69+'2 lentele'!K70+'2 lentele'!K71+'2 lentele'!K72+'2 lentele'!K73+'2 lentele'!K74+'2 lentele'!K76+'2 lentele'!K78+'2 lentele'!K79+'2 lentele'!K80+'2 lentele'!K81+'2 lentele'!K82+'2 lentele'!K83+'2 lentele'!K89+'2 lentele'!K90+'2 lentele'!K91</f>
        <v>15160680.620000001</v>
      </c>
      <c r="I25" s="158">
        <f>'2 lentele'!K84+'2 lentele'!K66</f>
        <v>1289472.51</v>
      </c>
      <c r="J25" s="155">
        <v>0</v>
      </c>
      <c r="K25" s="158">
        <f t="shared" si="0"/>
        <v>20849836.360000003</v>
      </c>
    </row>
    <row r="26" spans="1:11" ht="47.25" x14ac:dyDescent="0.25">
      <c r="A26" s="157" t="s">
        <v>1405</v>
      </c>
      <c r="B26" s="325" t="s">
        <v>1279</v>
      </c>
      <c r="C26" s="155">
        <v>0</v>
      </c>
      <c r="D26" s="155">
        <v>0</v>
      </c>
      <c r="E26" s="158">
        <v>0</v>
      </c>
      <c r="F26" s="155">
        <v>0</v>
      </c>
      <c r="G26" s="158">
        <f>'2 lentele'!K27+'2 lentele'!K29+'2 lentele'!K30+'2 lentele'!K32+'2 lentele'!K33+'2 lentele'!K34+'2 lentele'!K117+'2 lentele'!K118</f>
        <v>5669877.5100000007</v>
      </c>
      <c r="H26" s="155">
        <v>0</v>
      </c>
      <c r="I26" s="158">
        <v>0</v>
      </c>
      <c r="J26" s="155">
        <v>0</v>
      </c>
      <c r="K26" s="158">
        <f t="shared" si="0"/>
        <v>5669877.5100000007</v>
      </c>
    </row>
    <row r="27" spans="1:11" ht="47.25" x14ac:dyDescent="0.25">
      <c r="A27" s="157" t="s">
        <v>14</v>
      </c>
      <c r="B27" s="325" t="s">
        <v>1280</v>
      </c>
      <c r="C27" s="155">
        <v>0</v>
      </c>
      <c r="D27" s="155">
        <v>0</v>
      </c>
      <c r="E27" s="155">
        <v>0</v>
      </c>
      <c r="F27" s="155">
        <f>'2 lentele'!K40</f>
        <v>711630</v>
      </c>
      <c r="G27" s="155">
        <v>0</v>
      </c>
      <c r="H27" s="155">
        <v>0</v>
      </c>
      <c r="I27" s="155">
        <v>0</v>
      </c>
      <c r="J27" s="155">
        <v>0</v>
      </c>
      <c r="K27" s="158">
        <f t="shared" si="0"/>
        <v>711630</v>
      </c>
    </row>
    <row r="28" spans="1:11" ht="31.5" x14ac:dyDescent="0.25">
      <c r="A28" s="157" t="s">
        <v>1401</v>
      </c>
      <c r="B28" s="325" t="s">
        <v>1281</v>
      </c>
      <c r="C28" s="155">
        <v>0</v>
      </c>
      <c r="D28" s="155">
        <v>0</v>
      </c>
      <c r="E28" s="155">
        <v>0</v>
      </c>
      <c r="F28" s="155">
        <v>0</v>
      </c>
      <c r="G28" s="155">
        <f>'2 lentele'!K17+'2 lentele'!K119+'2 lentele'!K120+'2 lentele'!K121</f>
        <v>7650000</v>
      </c>
      <c r="H28" s="155">
        <f>'2 lentele'!K15+'2 lentele'!K16+'2 lentele'!K129+'2 lentele'!K130+'2 lentele'!K131+'2 lentele'!K132+'2 lentele'!K317</f>
        <v>29750440</v>
      </c>
      <c r="I28" s="155">
        <v>0</v>
      </c>
      <c r="J28" s="155">
        <v>0</v>
      </c>
      <c r="K28" s="158">
        <f t="shared" si="0"/>
        <v>37400440</v>
      </c>
    </row>
    <row r="29" spans="1:11" ht="31.5" x14ac:dyDescent="0.25">
      <c r="A29" s="157" t="s">
        <v>1207</v>
      </c>
      <c r="B29" s="325" t="s">
        <v>1282</v>
      </c>
      <c r="C29" s="155">
        <v>0</v>
      </c>
      <c r="D29" s="155">
        <v>0</v>
      </c>
      <c r="E29" s="155">
        <v>0</v>
      </c>
      <c r="F29" s="155">
        <f>'2 lentele'!K38+'2 lentele'!K41+'2 lentele'!K53</f>
        <v>2710949.0700000003</v>
      </c>
      <c r="G29" s="155">
        <f>'2 lentele'!K43+'2 lentele'!K44+'2 lentele'!K46+'2 lentele'!K52+'2 lentele'!K54</f>
        <v>8108380.5200000005</v>
      </c>
      <c r="H29" s="155">
        <f>'2 lentele'!K42+'2 lentele'!K31+'2 lentele'!K28+'2 lentele'!K26+'2 lentele'!K47+'2 lentele'!K48+'2 lentele'!K49+'2 lentele'!K55+'2 lentele'!K39+'2 lentele'!K50+'2 lentele'!K45+'2 lentele'!K51+'2 lentele'!K57</f>
        <v>21647209.439999998</v>
      </c>
      <c r="I29" s="155">
        <v>0</v>
      </c>
      <c r="J29" s="155">
        <v>0</v>
      </c>
      <c r="K29" s="158">
        <f t="shared" si="0"/>
        <v>32466539.029999997</v>
      </c>
    </row>
    <row r="30" spans="1:11" ht="31.5" x14ac:dyDescent="0.25">
      <c r="A30" s="157" t="s">
        <v>1414</v>
      </c>
      <c r="B30" s="325" t="s">
        <v>1283</v>
      </c>
      <c r="C30" s="155">
        <v>0</v>
      </c>
      <c r="D30" s="155">
        <v>0</v>
      </c>
      <c r="E30" s="155">
        <v>0</v>
      </c>
      <c r="F30" s="155">
        <f>'2 lentele'!K297</f>
        <v>1543778.24</v>
      </c>
      <c r="G30" s="155">
        <f>'2 lentele'!K295+'2 lentele'!K296+'2 lentele'!K298</f>
        <v>14903069</v>
      </c>
      <c r="H30" s="155">
        <v>0</v>
      </c>
      <c r="I30" s="155">
        <v>0</v>
      </c>
      <c r="J30" s="155">
        <v>0</v>
      </c>
      <c r="K30" s="158">
        <f t="shared" si="0"/>
        <v>16446847.24</v>
      </c>
    </row>
    <row r="31" spans="1:11" ht="31.5" x14ac:dyDescent="0.25">
      <c r="A31" s="157" t="s">
        <v>30</v>
      </c>
      <c r="B31" s="325" t="s">
        <v>1284</v>
      </c>
      <c r="C31" s="155">
        <v>0</v>
      </c>
      <c r="D31" s="155">
        <v>0</v>
      </c>
      <c r="E31" s="155">
        <v>0</v>
      </c>
      <c r="F31" s="155">
        <v>0</v>
      </c>
      <c r="G31" s="155">
        <f>'2 lentele'!K228+'2 lentele'!K231+'2 lentele'!K232+'2 lentele'!K233+'2 lentele'!K234+'2 lentele'!K237+'2 lentele'!K239</f>
        <v>4003756.7500000005</v>
      </c>
      <c r="H31" s="316">
        <f>'2 lentele'!K230</f>
        <v>414856.83</v>
      </c>
      <c r="I31" s="155">
        <f>'2 lentele'!K240</f>
        <v>390000</v>
      </c>
      <c r="J31" s="155">
        <v>0</v>
      </c>
      <c r="K31" s="158">
        <f t="shared" si="0"/>
        <v>4808613.58</v>
      </c>
    </row>
    <row r="32" spans="1:11" ht="31.5" x14ac:dyDescent="0.25">
      <c r="A32" s="157" t="s">
        <v>1209</v>
      </c>
      <c r="B32" s="325" t="s">
        <v>1285</v>
      </c>
      <c r="C32" s="155">
        <v>0</v>
      </c>
      <c r="D32" s="155">
        <v>0</v>
      </c>
      <c r="E32" s="155">
        <v>0</v>
      </c>
      <c r="F32" s="155">
        <f>'2 lentele'!K243+'2 lentele'!K246+'2 lentele'!K247+'2 lentele'!K248+'2 lentele'!K249+'2 lentele'!K250+'2 lentele'!K251+'2 lentele'!K252</f>
        <v>11909839.470000001</v>
      </c>
      <c r="G32" s="155">
        <v>0</v>
      </c>
      <c r="H32" s="155">
        <v>0</v>
      </c>
      <c r="I32" s="155">
        <v>0</v>
      </c>
      <c r="J32" s="155">
        <v>0</v>
      </c>
      <c r="K32" s="158">
        <f t="shared" si="0"/>
        <v>11909839.470000001</v>
      </c>
    </row>
    <row r="33" spans="1:11" ht="63" x14ac:dyDescent="0.25">
      <c r="A33" s="157" t="s">
        <v>1413</v>
      </c>
      <c r="B33" s="325" t="s">
        <v>1286</v>
      </c>
      <c r="C33" s="155">
        <v>0</v>
      </c>
      <c r="D33" s="155">
        <v>0</v>
      </c>
      <c r="E33" s="155">
        <v>0</v>
      </c>
      <c r="F33" s="155">
        <v>0</v>
      </c>
      <c r="G33" s="155">
        <f>'2 lentele'!K282+'2 lentele'!K274</f>
        <v>739246.57599629287</v>
      </c>
      <c r="H33" s="155">
        <f>'2 lentele'!K275+'2 lentele'!K278+'2 lentele'!K279</f>
        <v>2354904</v>
      </c>
      <c r="I33" s="155">
        <v>0</v>
      </c>
      <c r="J33" s="155">
        <v>0</v>
      </c>
      <c r="K33" s="158">
        <f t="shared" si="0"/>
        <v>3094150.5759962928</v>
      </c>
    </row>
    <row r="34" spans="1:11" ht="31.5" x14ac:dyDescent="0.25">
      <c r="A34" s="157" t="s">
        <v>1242</v>
      </c>
      <c r="B34" s="325" t="s">
        <v>1287</v>
      </c>
      <c r="C34" s="155">
        <v>0</v>
      </c>
      <c r="D34" s="155">
        <v>0</v>
      </c>
      <c r="E34" s="155">
        <v>0</v>
      </c>
      <c r="F34" s="155">
        <v>0</v>
      </c>
      <c r="G34" s="155">
        <f>'2 lentele'!K306+'2 lentele'!K309</f>
        <v>1823183.6099999999</v>
      </c>
      <c r="H34" s="155">
        <f>'2 lentele'!K305+'2 lentele'!K311+'2 lentele'!K351+'2 lentele'!K313+'2 lentele'!K307+'2 lentele'!K334+'2 lentele'!K310</f>
        <v>6142847.1600000001</v>
      </c>
      <c r="I34" s="155">
        <f>'2 lentele'!K312</f>
        <v>852941.17999999993</v>
      </c>
      <c r="J34" s="155">
        <v>0</v>
      </c>
      <c r="K34" s="158">
        <f t="shared" si="0"/>
        <v>8818971.9499999993</v>
      </c>
    </row>
    <row r="35" spans="1:11" ht="94.5" x14ac:dyDescent="0.25">
      <c r="A35" s="157" t="s">
        <v>1871</v>
      </c>
      <c r="B35" s="325" t="s">
        <v>1874</v>
      </c>
      <c r="C35" s="155">
        <v>0</v>
      </c>
      <c r="D35" s="155">
        <v>0</v>
      </c>
      <c r="E35" s="155">
        <v>0</v>
      </c>
      <c r="F35" s="155">
        <v>0</v>
      </c>
      <c r="G35" s="155">
        <v>0</v>
      </c>
      <c r="H35" s="155">
        <f>'2 lentele'!K283+'2 lentele'!K284+'2 lentele'!K285+'2 lentele'!K286+'2 lentele'!K287+'2 lentele'!K288+'2 lentele'!K289</f>
        <v>175868.27000000002</v>
      </c>
      <c r="I35" s="155">
        <v>0</v>
      </c>
      <c r="J35" s="155">
        <v>0</v>
      </c>
      <c r="K35" s="158">
        <f t="shared" si="0"/>
        <v>175868.27000000002</v>
      </c>
    </row>
    <row r="36" spans="1:11" ht="47.25" x14ac:dyDescent="0.25">
      <c r="A36" s="157" t="s">
        <v>1412</v>
      </c>
      <c r="B36" s="325" t="s">
        <v>1288</v>
      </c>
      <c r="C36" s="155">
        <v>0</v>
      </c>
      <c r="D36" s="155">
        <v>0</v>
      </c>
      <c r="E36" s="155">
        <v>0</v>
      </c>
      <c r="F36" s="155">
        <v>0</v>
      </c>
      <c r="G36" s="155">
        <v>0</v>
      </c>
      <c r="H36" s="155">
        <f>'2 lentele'!K258+'2 lentele'!K259+'2 lentele'!K264+'2 lentele'!K265+'2 lentele'!K260+'2 lentele'!K261+'2 lentele'!K262+'2 lentele'!K263</f>
        <v>1658562.37</v>
      </c>
      <c r="I36" s="155">
        <v>0</v>
      </c>
      <c r="J36" s="155">
        <v>0</v>
      </c>
      <c r="K36" s="158">
        <f t="shared" si="0"/>
        <v>1658562.37</v>
      </c>
    </row>
    <row r="37" spans="1:11" ht="47.25" x14ac:dyDescent="0.25">
      <c r="A37" s="157" t="s">
        <v>1240</v>
      </c>
      <c r="B37" s="325" t="s">
        <v>1289</v>
      </c>
      <c r="C37" s="155">
        <v>0</v>
      </c>
      <c r="D37" s="155">
        <v>0</v>
      </c>
      <c r="E37" s="155">
        <v>0</v>
      </c>
      <c r="F37" s="155">
        <v>0</v>
      </c>
      <c r="G37" s="155">
        <f>'2 lentele'!K159</f>
        <v>47553</v>
      </c>
      <c r="H37" s="155">
        <f>'2 lentele'!K160+'2 lentele'!K161+'2 lentele'!K162+'2 lentele'!K178+'2 lentele'!K180+'2 lentele'!K182+'2 lentele'!K163+'2 lentele'!K164+'2 lentele'!K165+'2 lentele'!K168+'2 lentele'!K195+'2 lentele'!K196</f>
        <v>4050217.08</v>
      </c>
      <c r="I37" s="155">
        <v>0</v>
      </c>
      <c r="J37" s="155">
        <v>0</v>
      </c>
      <c r="K37" s="158">
        <f t="shared" si="0"/>
        <v>4097770.08</v>
      </c>
    </row>
    <row r="38" spans="1:11" ht="31.5" x14ac:dyDescent="0.25">
      <c r="A38" s="157" t="s">
        <v>1241</v>
      </c>
      <c r="B38" s="325" t="s">
        <v>1290</v>
      </c>
      <c r="C38" s="155">
        <v>0</v>
      </c>
      <c r="D38" s="155">
        <v>0</v>
      </c>
      <c r="E38" s="155">
        <v>0</v>
      </c>
      <c r="F38" s="155">
        <v>0</v>
      </c>
      <c r="G38" s="155">
        <f>'2 lentele'!K152+'2 lentele'!K153+'2 lentele'!K154+'2 lentele'!K156+'2 lentele'!K194</f>
        <v>2906619.64</v>
      </c>
      <c r="H38" s="155">
        <f>'2 lentele'!K157+'2 lentele'!K181+'2 lentele'!K192+'2 lentele'!K193</f>
        <v>1899678.56</v>
      </c>
      <c r="I38" s="155">
        <v>0</v>
      </c>
      <c r="J38" s="155">
        <v>0</v>
      </c>
      <c r="K38" s="158">
        <f t="shared" si="0"/>
        <v>4806298.2</v>
      </c>
    </row>
    <row r="39" spans="1:11" ht="47.25" x14ac:dyDescent="0.25">
      <c r="A39" s="157" t="s">
        <v>1410</v>
      </c>
      <c r="B39" s="325" t="s">
        <v>1291</v>
      </c>
      <c r="C39" s="155">
        <v>0</v>
      </c>
      <c r="D39" s="155">
        <v>0</v>
      </c>
      <c r="E39" s="155">
        <v>0</v>
      </c>
      <c r="F39" s="155">
        <v>0</v>
      </c>
      <c r="G39" s="155">
        <f>'2 lentele'!K210+'2 lentele'!K211+'2 lentele'!K212+'2 lentele'!K213+'2 lentele'!K214+'2 lentele'!K215+'2 lentele'!K216+'2 lentele'!K218</f>
        <v>3423385.82</v>
      </c>
      <c r="H39" s="155">
        <f>'2 lentele'!K217</f>
        <v>206088.38</v>
      </c>
      <c r="I39" s="155">
        <v>0</v>
      </c>
      <c r="J39" s="155">
        <v>0</v>
      </c>
      <c r="K39" s="158">
        <f t="shared" si="0"/>
        <v>3629474.1999999997</v>
      </c>
    </row>
    <row r="40" spans="1:11" ht="47.25" x14ac:dyDescent="0.25">
      <c r="A40" s="157" t="s">
        <v>121</v>
      </c>
      <c r="B40" s="325" t="s">
        <v>1292</v>
      </c>
      <c r="C40" s="155">
        <v>0</v>
      </c>
      <c r="D40" s="155">
        <v>0</v>
      </c>
      <c r="E40" s="155">
        <v>0</v>
      </c>
      <c r="F40" s="155">
        <v>0</v>
      </c>
      <c r="G40" s="155">
        <v>0</v>
      </c>
      <c r="H40" s="155">
        <f>'2 lentele'!K200+'2 lentele'!K201+'2 lentele'!K202+'2 lentele'!K204</f>
        <v>1471519.46</v>
      </c>
      <c r="I40" s="155">
        <f>'2 lentele'!K203</f>
        <v>752970</v>
      </c>
      <c r="J40" s="155">
        <v>0</v>
      </c>
      <c r="K40" s="158">
        <f t="shared" si="0"/>
        <v>2224489.46</v>
      </c>
    </row>
    <row r="41" spans="1:11" ht="63" x14ac:dyDescent="0.25">
      <c r="A41" s="157" t="s">
        <v>1183</v>
      </c>
      <c r="B41" s="325" t="s">
        <v>1293</v>
      </c>
      <c r="C41" s="155">
        <v>0</v>
      </c>
      <c r="D41" s="155">
        <v>0</v>
      </c>
      <c r="E41" s="155">
        <v>0</v>
      </c>
      <c r="F41" s="155">
        <f>'2 lentele'!K328</f>
        <v>380638</v>
      </c>
      <c r="G41" s="155">
        <f>'2 lentele'!K179+'2 lentele'!K325+'2 lentele'!K326+'2 lentele'!K327+'2 lentele'!K329+'2 lentele'!K335+'2 lentele'!K336+'2 lentele'!K337+'2 lentele'!K338+'2 lentele'!K339+'2 lentele'!K340+'2 lentele'!K341+'2 lentele'!K342+'2 lentele'!K343+'2 lentele'!K344+'2 lentele'!K345+'2 lentele'!K346+'2 lentele'!K347+'2 lentele'!K348+'2 lentele'!K349+'2 lentele'!K350+'2 lentele'!K352+'2 lentele'!K354+'2 lentele'!K355+'2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f>
        <v>7187281.6999999993</v>
      </c>
      <c r="H41" s="155">
        <f>'2 lentele'!K353</f>
        <v>280000</v>
      </c>
      <c r="I41" s="155">
        <v>0</v>
      </c>
      <c r="J41" s="155">
        <f>'2 lentele'!K330+'2 lentele'!K331+'2 lentele'!K332+'2 lentele'!K333</f>
        <v>1360000</v>
      </c>
      <c r="K41" s="158">
        <f t="shared" si="0"/>
        <v>9207919.6999999993</v>
      </c>
    </row>
    <row r="42" spans="1:11" ht="47.25" x14ac:dyDescent="0.25">
      <c r="A42" s="157" t="s">
        <v>1841</v>
      </c>
      <c r="B42" s="325" t="s">
        <v>1840</v>
      </c>
      <c r="C42" s="155">
        <v>0</v>
      </c>
      <c r="D42" s="155">
        <v>0</v>
      </c>
      <c r="E42" s="155">
        <v>0</v>
      </c>
      <c r="F42" s="155">
        <f>+'2 lentele'!K184</f>
        <v>2241000</v>
      </c>
      <c r="G42" s="155">
        <v>0</v>
      </c>
      <c r="H42" s="155">
        <v>0</v>
      </c>
      <c r="I42" s="155">
        <v>0</v>
      </c>
      <c r="J42" s="155">
        <v>0</v>
      </c>
      <c r="K42" s="158">
        <f t="shared" si="0"/>
        <v>2241000</v>
      </c>
    </row>
    <row r="43" spans="1:11" ht="15.75" x14ac:dyDescent="0.25">
      <c r="A43" s="157" t="s">
        <v>843</v>
      </c>
      <c r="B43" s="156"/>
      <c r="C43" s="155">
        <f>'2 lentele'!K446+'2 lentele'!K447</f>
        <v>492929</v>
      </c>
      <c r="D43" s="155">
        <v>0</v>
      </c>
      <c r="E43" s="155">
        <v>0</v>
      </c>
      <c r="F43" s="155">
        <v>0</v>
      </c>
      <c r="G43" s="155">
        <f>'2 lentele'!K448</f>
        <v>349838</v>
      </c>
      <c r="H43" s="155">
        <f>'2 lentele'!K445</f>
        <v>380000</v>
      </c>
      <c r="I43" s="155">
        <v>0</v>
      </c>
      <c r="J43" s="155">
        <v>0</v>
      </c>
      <c r="K43" s="158">
        <f t="shared" si="0"/>
        <v>1222767</v>
      </c>
    </row>
    <row r="44" spans="1:11" ht="15.75" x14ac:dyDescent="0.25">
      <c r="A44" s="157" t="s">
        <v>816</v>
      </c>
      <c r="B44" s="156"/>
      <c r="C44" s="155">
        <v>0</v>
      </c>
      <c r="D44" s="155">
        <f>'2 lentele'!K25</f>
        <v>260658</v>
      </c>
      <c r="E44" s="155">
        <v>0</v>
      </c>
      <c r="F44" s="155">
        <f>'2 lentele'!K183+'2 lentele'!K186+'2 lentele'!K188+'2 lentele'!K190+'2 lentele'!K191+'2 lentele'!K276+'2 lentele'!K277+'2 lentele'!K293+'2 lentele'!K294</f>
        <v>6998801</v>
      </c>
      <c r="G44" s="155">
        <f>'2 lentele'!K155+'2 lentele'!K172+'2 lentele'!K185+'2 lentele'!K187+'2 lentele'!K189+'2 lentele'!K271+'2 lentele'!K272+'2 lentele'!K273</f>
        <v>10626104</v>
      </c>
      <c r="H44" s="155">
        <v>0</v>
      </c>
      <c r="I44" s="155">
        <v>0</v>
      </c>
      <c r="J44" s="155">
        <v>0</v>
      </c>
      <c r="K44" s="158">
        <f t="shared" si="0"/>
        <v>17885563</v>
      </c>
    </row>
    <row r="45" spans="1:11" ht="15.75" x14ac:dyDescent="0.25">
      <c r="A45" s="506" t="s">
        <v>1541</v>
      </c>
      <c r="B45" s="507"/>
      <c r="C45" s="507"/>
      <c r="D45" s="507"/>
      <c r="E45" s="507"/>
      <c r="F45" s="507"/>
      <c r="G45" s="507"/>
      <c r="H45" s="507"/>
      <c r="I45" s="507"/>
      <c r="J45" s="508"/>
      <c r="K45" s="158">
        <f>SUM(K9:K44)</f>
        <v>337469679.45599622</v>
      </c>
    </row>
  </sheetData>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1" firstPageNumber="176" fitToHeight="0" orientation="landscape" useFirstPageNumber="1" r:id="rId1"/>
  <headerFooter>
    <oddHeader>&amp;L&amp;G&amp;RKauno regiono plėtros planas iki 2020 metų</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37" workbookViewId="0">
      <selection activeCell="G46" sqref="G46"/>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2" t="s">
        <v>439</v>
      </c>
      <c r="G1" s="502"/>
      <c r="H1" s="502"/>
      <c r="I1" s="502"/>
    </row>
    <row r="2" spans="1:10" ht="15.75" x14ac:dyDescent="0.25">
      <c r="F2" s="503" t="s">
        <v>440</v>
      </c>
      <c r="G2" s="503"/>
      <c r="H2" s="503"/>
      <c r="I2" s="503"/>
    </row>
    <row r="3" spans="1:10" ht="15.75" x14ac:dyDescent="0.25">
      <c r="F3" s="503" t="s">
        <v>441</v>
      </c>
      <c r="G3" s="503"/>
      <c r="H3" s="503"/>
      <c r="I3" s="503"/>
    </row>
    <row r="5" spans="1:10" ht="15.75" x14ac:dyDescent="0.25">
      <c r="A5" s="154" t="s">
        <v>1103</v>
      </c>
    </row>
    <row r="6" spans="1:10" ht="15.75" x14ac:dyDescent="0.25">
      <c r="A6" s="154" t="s">
        <v>1104</v>
      </c>
    </row>
    <row r="7" spans="1:10" ht="15.75" x14ac:dyDescent="0.25">
      <c r="A7" s="320"/>
      <c r="B7" s="321" t="s">
        <v>307</v>
      </c>
      <c r="C7" s="161">
        <v>2013</v>
      </c>
      <c r="D7" s="161">
        <v>2014</v>
      </c>
      <c r="E7" s="161">
        <v>2015</v>
      </c>
      <c r="F7" s="161">
        <v>2016</v>
      </c>
      <c r="G7" s="161">
        <v>2017</v>
      </c>
      <c r="H7" s="161">
        <v>2018</v>
      </c>
      <c r="I7" s="161">
        <v>2019</v>
      </c>
      <c r="J7" s="161">
        <v>2020</v>
      </c>
    </row>
    <row r="8" spans="1:10" ht="51" x14ac:dyDescent="0.25">
      <c r="A8" s="322" t="s">
        <v>1105</v>
      </c>
      <c r="B8" s="322" t="s">
        <v>1106</v>
      </c>
      <c r="C8" s="161"/>
      <c r="D8" s="159"/>
      <c r="E8" s="160"/>
      <c r="F8" s="159"/>
      <c r="G8" s="159"/>
      <c r="H8" s="159"/>
      <c r="I8" s="159"/>
      <c r="J8" s="159"/>
    </row>
    <row r="9" spans="1:10" ht="63" x14ac:dyDescent="0.25">
      <c r="A9" s="157" t="s">
        <v>105</v>
      </c>
      <c r="B9" s="325" t="s">
        <v>1113</v>
      </c>
      <c r="C9" s="155">
        <v>0</v>
      </c>
      <c r="D9" s="155">
        <v>0</v>
      </c>
      <c r="E9" s="158">
        <v>0</v>
      </c>
      <c r="F9" s="155">
        <v>0</v>
      </c>
      <c r="G9" s="158">
        <v>0</v>
      </c>
      <c r="H9" s="155">
        <f>'2 lentele'!K443+'2 lentele'!K444</f>
        <v>1152000</v>
      </c>
      <c r="I9" s="158">
        <v>0</v>
      </c>
      <c r="J9" s="155">
        <v>0</v>
      </c>
    </row>
    <row r="10" spans="1:10" ht="31.5" x14ac:dyDescent="0.25">
      <c r="A10" s="157" t="s">
        <v>1237</v>
      </c>
      <c r="B10" s="325" t="s">
        <v>1114</v>
      </c>
      <c r="C10" s="155">
        <v>0</v>
      </c>
      <c r="D10" s="155">
        <v>0</v>
      </c>
      <c r="E10" s="158">
        <v>0</v>
      </c>
      <c r="F10" s="155">
        <v>0</v>
      </c>
      <c r="G10" s="158">
        <f>'2 lentele'!K88</f>
        <v>1127570.5900000001</v>
      </c>
      <c r="H10" s="155">
        <f>'2 lentele'!K68+'2 lentele'!K92+'2 lentele'!K98+G10</f>
        <v>2255141.41</v>
      </c>
      <c r="I10" s="158">
        <v>0</v>
      </c>
      <c r="J10" s="155">
        <v>0</v>
      </c>
    </row>
    <row r="11" spans="1:10" ht="47.25" x14ac:dyDescent="0.25">
      <c r="A11" s="157" t="s">
        <v>1238</v>
      </c>
      <c r="B11" s="325" t="s">
        <v>1115</v>
      </c>
      <c r="C11" s="155">
        <v>0</v>
      </c>
      <c r="D11" s="155">
        <v>0</v>
      </c>
      <c r="E11" s="155">
        <v>0</v>
      </c>
      <c r="F11" s="155">
        <v>0</v>
      </c>
      <c r="G11" s="155">
        <f>'2 lentele'!K97+'2 lentele'!K102+'2 lentele'!K103</f>
        <v>727481.83</v>
      </c>
      <c r="H11" s="155">
        <f>'2 lentele'!K96+'2 lentele'!K99+'2 lentele'!K100+'2 lentele'!K104+'2 lentele'!K106+G11</f>
        <v>1704845.25</v>
      </c>
      <c r="I11" s="155">
        <f>'2 lentele'!K101+'2 lentele'!K105+H11</f>
        <v>2115321.25</v>
      </c>
      <c r="J11" s="155">
        <v>0</v>
      </c>
    </row>
    <row r="12" spans="1:10" ht="63" x14ac:dyDescent="0.25">
      <c r="A12" s="157" t="s">
        <v>45</v>
      </c>
      <c r="B12" s="325" t="s">
        <v>1116</v>
      </c>
      <c r="C12" s="155">
        <v>0</v>
      </c>
      <c r="D12" s="155">
        <v>0</v>
      </c>
      <c r="E12" s="155">
        <v>0</v>
      </c>
      <c r="F12" s="155">
        <v>0</v>
      </c>
      <c r="G12" s="155">
        <v>0</v>
      </c>
      <c r="H12" s="155">
        <f>'2 lentele'!K108</f>
        <v>574531.24</v>
      </c>
      <c r="I12" s="155">
        <f>H12+'2 lentele'!K109</f>
        <v>1155023.25</v>
      </c>
      <c r="J12" s="155">
        <v>0</v>
      </c>
    </row>
    <row r="13" spans="1:10" ht="31.5" x14ac:dyDescent="0.25">
      <c r="A13" s="157" t="s">
        <v>1402</v>
      </c>
      <c r="B13" s="325" t="s">
        <v>1117</v>
      </c>
      <c r="C13" s="155">
        <v>0</v>
      </c>
      <c r="D13" s="155">
        <v>0</v>
      </c>
      <c r="E13" s="158">
        <v>0</v>
      </c>
      <c r="F13" s="155">
        <f>'2 lentele'!K87</f>
        <v>17545</v>
      </c>
      <c r="G13" s="158">
        <f>'2 lentele'!K93+F13</f>
        <v>32595</v>
      </c>
      <c r="H13" s="155">
        <f>'2 lentele'!K94+G13</f>
        <v>273772</v>
      </c>
      <c r="I13" s="158">
        <v>0</v>
      </c>
      <c r="J13" s="155">
        <v>0</v>
      </c>
    </row>
    <row r="14" spans="1:10" ht="63" x14ac:dyDescent="0.25">
      <c r="A14" s="157" t="s">
        <v>1422</v>
      </c>
      <c r="B14" s="325" t="s">
        <v>1118</v>
      </c>
      <c r="C14" s="155">
        <v>0</v>
      </c>
      <c r="D14" s="155">
        <v>0</v>
      </c>
      <c r="E14" s="158">
        <v>0</v>
      </c>
      <c r="F14" s="155">
        <v>0</v>
      </c>
      <c r="G14" s="158">
        <f>'2 lentele'!K450</f>
        <v>8274858</v>
      </c>
      <c r="H14" s="155">
        <v>0</v>
      </c>
      <c r="I14" s="158">
        <v>0</v>
      </c>
      <c r="J14" s="155">
        <v>0</v>
      </c>
    </row>
    <row r="15" spans="1:10" ht="31.5" x14ac:dyDescent="0.25">
      <c r="A15" s="157" t="s">
        <v>47</v>
      </c>
      <c r="B15" s="325" t="s">
        <v>1267</v>
      </c>
      <c r="C15" s="155">
        <v>0</v>
      </c>
      <c r="D15" s="155">
        <v>0</v>
      </c>
      <c r="E15" s="155">
        <v>0</v>
      </c>
      <c r="F15" s="155">
        <v>0</v>
      </c>
      <c r="G15" s="155">
        <f>'2 lentele'!K302+'2 lentele'!K303+'2 lentele'!K308</f>
        <v>18437562.079999998</v>
      </c>
      <c r="H15" s="155">
        <v>0</v>
      </c>
      <c r="I15" s="155">
        <v>0</v>
      </c>
      <c r="J15" s="155">
        <v>0</v>
      </c>
    </row>
    <row r="16" spans="1:10" ht="63" x14ac:dyDescent="0.25">
      <c r="A16" s="157" t="s">
        <v>1384</v>
      </c>
      <c r="B16" s="325" t="s">
        <v>1268</v>
      </c>
      <c r="C16" s="155">
        <v>0</v>
      </c>
      <c r="D16" s="155">
        <v>0</v>
      </c>
      <c r="E16" s="155">
        <v>0</v>
      </c>
      <c r="F16" s="155">
        <v>0</v>
      </c>
      <c r="G16" s="155">
        <f>'2 lentele'!K396+'2 lentele'!K397+'2 lentele'!K398+'2 lentele'!K399+'2 lentele'!K400+'2 lentele'!K401+'2 lentele'!K402</f>
        <v>19236904.050000001</v>
      </c>
      <c r="H16" s="155">
        <v>0</v>
      </c>
      <c r="I16" s="155">
        <v>0</v>
      </c>
      <c r="J16" s="155">
        <v>0</v>
      </c>
    </row>
    <row r="17" spans="1:10" ht="110.25" x14ac:dyDescent="0.25">
      <c r="A17" s="157" t="s">
        <v>1235</v>
      </c>
      <c r="B17" s="325" t="s">
        <v>1269</v>
      </c>
      <c r="C17" s="155">
        <v>0</v>
      </c>
      <c r="D17" s="155">
        <v>0</v>
      </c>
      <c r="E17" s="158">
        <v>0</v>
      </c>
      <c r="F17" s="155">
        <f>'2 lentele'!K415</f>
        <v>6546671.6399999997</v>
      </c>
      <c r="G17" s="158">
        <f>'2 lentele'!K416+'2 lentele'!K417+'2 lentele'!K418+'2 lentele'!K419+'2 lentele'!K428+'2 lentele'!K430+'2 lentele'!K432+'2 lentele'!K433+'2 lentele'!K434+'2 lentele'!K411+F17</f>
        <v>46312450.109999999</v>
      </c>
      <c r="H17" s="155">
        <f>'2 lentele'!K420+'2 lentele'!K421+'2 lentele'!K422+'2 lentele'!K423+'2 lentele'!K424+'2 lentele'!K425+'2 lentele'!K426+'2 lentele'!K199+G17+'2 lentele'!K413+'2 lentele'!K429</f>
        <v>54678890.840000004</v>
      </c>
      <c r="I17" s="158">
        <f>'2 lentele'!K427+'2 lentele'!K435+'2 lentele'!K436+'2 lentele'!K437+'2 lentele'!K412+H17</f>
        <v>65334635.660000004</v>
      </c>
      <c r="J17" s="155">
        <v>0</v>
      </c>
    </row>
    <row r="18" spans="1:10" ht="63" x14ac:dyDescent="0.25">
      <c r="A18" s="157" t="s">
        <v>125</v>
      </c>
      <c r="B18" s="325" t="s">
        <v>1270</v>
      </c>
      <c r="C18" s="155">
        <v>0</v>
      </c>
      <c r="D18" s="155">
        <v>0</v>
      </c>
      <c r="E18" s="158">
        <v>0</v>
      </c>
      <c r="F18" s="155">
        <f>'2 lentele'!K431+'2 lentele'!K438</f>
        <v>5875807.2799999993</v>
      </c>
      <c r="G18" s="158">
        <v>0</v>
      </c>
      <c r="H18" s="155">
        <v>0</v>
      </c>
      <c r="I18" s="158">
        <v>0</v>
      </c>
      <c r="J18" s="155">
        <v>0</v>
      </c>
    </row>
    <row r="19" spans="1:10" ht="94.5" x14ac:dyDescent="0.25">
      <c r="A19" s="157" t="s">
        <v>90</v>
      </c>
      <c r="B19" s="325" t="s">
        <v>1271</v>
      </c>
      <c r="C19" s="155">
        <v>0</v>
      </c>
      <c r="D19" s="155">
        <v>0</v>
      </c>
      <c r="E19" s="155">
        <v>0</v>
      </c>
      <c r="F19" s="155">
        <f>'2 lentele'!K114</f>
        <v>11584800</v>
      </c>
      <c r="G19" s="155">
        <v>0</v>
      </c>
      <c r="H19" s="155">
        <v>0</v>
      </c>
      <c r="I19" s="155">
        <v>0</v>
      </c>
      <c r="J19" s="155">
        <v>0</v>
      </c>
    </row>
    <row r="20" spans="1:10" ht="63" x14ac:dyDescent="0.25">
      <c r="A20" s="157" t="s">
        <v>34</v>
      </c>
      <c r="B20" s="325" t="s">
        <v>1272</v>
      </c>
      <c r="C20" s="155">
        <v>0</v>
      </c>
      <c r="D20" s="155">
        <v>0</v>
      </c>
      <c r="E20" s="155">
        <v>0</v>
      </c>
      <c r="F20" s="155">
        <v>0</v>
      </c>
      <c r="G20" s="155">
        <f>'2 lentele'!K113+'2 lentele'!K115+'2 lentele'!K116+'2 lentele'!K122+'2 lentele'!K123+'2 lentele'!K124+'2 lentele'!K125</f>
        <v>5906862.6499999994</v>
      </c>
      <c r="H20" s="155">
        <v>0</v>
      </c>
      <c r="I20" s="155">
        <v>0</v>
      </c>
      <c r="J20" s="155">
        <v>0</v>
      </c>
    </row>
    <row r="21" spans="1:10" ht="110.25" x14ac:dyDescent="0.25">
      <c r="A21" s="157" t="s">
        <v>1448</v>
      </c>
      <c r="B21" s="325" t="s">
        <v>1273</v>
      </c>
      <c r="C21" s="155">
        <v>0</v>
      </c>
      <c r="D21" s="155">
        <v>0</v>
      </c>
      <c r="E21" s="158">
        <v>0</v>
      </c>
      <c r="F21" s="155">
        <v>0</v>
      </c>
      <c r="G21" s="158">
        <f>'2 lentele'!K136+'2 lentele'!K137</f>
        <v>525362.36</v>
      </c>
      <c r="H21" s="155">
        <f>'2 lentele'!K138+G21</f>
        <v>968850.54</v>
      </c>
      <c r="I21" s="158">
        <v>0</v>
      </c>
      <c r="J21" s="155">
        <v>0</v>
      </c>
    </row>
    <row r="22" spans="1:10" ht="31.5" x14ac:dyDescent="0.25">
      <c r="A22" s="157" t="s">
        <v>1386</v>
      </c>
      <c r="B22" s="325" t="s">
        <v>1274</v>
      </c>
      <c r="C22" s="155">
        <v>0</v>
      </c>
      <c r="D22" s="155">
        <v>0</v>
      </c>
      <c r="E22" s="158">
        <v>0</v>
      </c>
      <c r="F22" s="155">
        <v>0</v>
      </c>
      <c r="G22" s="158">
        <f>'2 lentele'!K456+'2 lentele'!K460+'2 lentele'!K465+'2 lentele'!K466+'2 lentele'!K468+'2 lentele'!K473+'2 lentele'!K474+'2 lentele'!K475</f>
        <v>1662782.35</v>
      </c>
      <c r="H22" s="155">
        <f>'2 lentele'!K461+'2 lentele'!K469+G22</f>
        <v>2176955.38</v>
      </c>
      <c r="I22" s="158">
        <f>'2 lentele'!K467+H22</f>
        <v>2265633.7799999998</v>
      </c>
      <c r="J22" s="155">
        <v>0</v>
      </c>
    </row>
    <row r="23" spans="1:10" ht="31.5" x14ac:dyDescent="0.25">
      <c r="A23" s="157" t="s">
        <v>1418</v>
      </c>
      <c r="B23" s="325" t="s">
        <v>1275</v>
      </c>
      <c r="C23" s="155">
        <v>0</v>
      </c>
      <c r="D23" s="155">
        <v>0</v>
      </c>
      <c r="E23" s="155">
        <v>0</v>
      </c>
      <c r="F23" s="155">
        <f>'2 lentele'!K405</f>
        <v>2062955.63</v>
      </c>
      <c r="G23" s="155">
        <v>0</v>
      </c>
      <c r="H23" s="155">
        <v>0</v>
      </c>
      <c r="I23" s="155">
        <v>0</v>
      </c>
      <c r="J23" s="155">
        <v>0</v>
      </c>
    </row>
    <row r="24" spans="1:10" ht="31.5" x14ac:dyDescent="0.25">
      <c r="A24" s="157" t="s">
        <v>1276</v>
      </c>
      <c r="B24" s="325" t="s">
        <v>1277</v>
      </c>
      <c r="C24" s="155">
        <v>0</v>
      </c>
      <c r="D24" s="155">
        <v>0</v>
      </c>
      <c r="E24" s="155">
        <v>0</v>
      </c>
      <c r="F24" s="155">
        <f>'2 lentele'!K457</f>
        <v>430002.16</v>
      </c>
      <c r="G24" s="155">
        <f>'2 lentele'!K458+'2 lentele'!K459+F24</f>
        <v>1243093.8799999999</v>
      </c>
      <c r="H24" s="155">
        <v>0</v>
      </c>
      <c r="I24" s="155">
        <v>0</v>
      </c>
      <c r="J24" s="155">
        <v>0</v>
      </c>
    </row>
    <row r="25" spans="1:10" ht="31.5" x14ac:dyDescent="0.25">
      <c r="A25" s="157" t="s">
        <v>1236</v>
      </c>
      <c r="B25" s="325" t="s">
        <v>1278</v>
      </c>
      <c r="C25" s="155">
        <v>0</v>
      </c>
      <c r="D25" s="155">
        <v>0</v>
      </c>
      <c r="E25" s="158">
        <v>0</v>
      </c>
      <c r="F25" s="155">
        <f>'2 lentele'!K65</f>
        <v>1495093.12</v>
      </c>
      <c r="G25" s="158">
        <f>'2 lentele'!K64+'2 lentele'!K67+'2 lentele'!K75+'2 lentele'!K77+'2 lentele'!K85+F25</f>
        <v>4399683.2299999995</v>
      </c>
      <c r="H25" s="155">
        <f>'2 lentele'!K69+'2 lentele'!K70+'2 lentele'!K71+'2 lentele'!K72+'2 lentele'!K73+'2 lentele'!K74+'2 lentele'!K76+'2 lentele'!K78+'2 lentele'!K79+'2 lentele'!K80+'2 lentele'!K81+'2 lentele'!K82+'2 lentele'!K83+'2 lentele'!K89+'2 lentele'!K90+'2 lentele'!K91+G25</f>
        <v>19560363.850000001</v>
      </c>
      <c r="I25" s="158">
        <f>'2 lentele'!K84+'2 lentele'!K66+H25</f>
        <v>20849836.360000003</v>
      </c>
      <c r="J25" s="155">
        <v>0</v>
      </c>
    </row>
    <row r="26" spans="1:10" ht="63" x14ac:dyDescent="0.25">
      <c r="A26" s="157" t="s">
        <v>1405</v>
      </c>
      <c r="B26" s="325" t="s">
        <v>1279</v>
      </c>
      <c r="C26" s="155">
        <v>0</v>
      </c>
      <c r="D26" s="155">
        <v>0</v>
      </c>
      <c r="E26" s="158">
        <v>0</v>
      </c>
      <c r="F26" s="155">
        <v>0</v>
      </c>
      <c r="G26" s="158">
        <f>'2 lentele'!K27+'2 lentele'!K29+'2 lentele'!K30+'2 lentele'!K32+'2 lentele'!K33+'2 lentele'!K34+'2 lentele'!K117+'2 lentele'!K118</f>
        <v>5669877.5100000007</v>
      </c>
      <c r="H26" s="155">
        <v>0</v>
      </c>
      <c r="I26" s="158">
        <v>0</v>
      </c>
      <c r="J26" s="155">
        <v>0</v>
      </c>
    </row>
    <row r="27" spans="1:10" ht="63" x14ac:dyDescent="0.25">
      <c r="A27" s="157" t="s">
        <v>14</v>
      </c>
      <c r="B27" s="325" t="s">
        <v>1280</v>
      </c>
      <c r="C27" s="155">
        <v>0</v>
      </c>
      <c r="D27" s="155">
        <v>0</v>
      </c>
      <c r="E27" s="155">
        <v>0</v>
      </c>
      <c r="F27" s="155">
        <f>'2 lentele'!K40</f>
        <v>711630</v>
      </c>
      <c r="G27" s="155">
        <v>0</v>
      </c>
      <c r="H27" s="155">
        <v>0</v>
      </c>
      <c r="I27" s="155">
        <v>0</v>
      </c>
      <c r="J27" s="155">
        <v>0</v>
      </c>
    </row>
    <row r="28" spans="1:10" ht="31.5" x14ac:dyDescent="0.25">
      <c r="A28" s="157" t="s">
        <v>1401</v>
      </c>
      <c r="B28" s="325" t="s">
        <v>1281</v>
      </c>
      <c r="C28" s="155">
        <v>0</v>
      </c>
      <c r="D28" s="155">
        <v>0</v>
      </c>
      <c r="E28" s="155">
        <v>0</v>
      </c>
      <c r="F28" s="155">
        <v>0</v>
      </c>
      <c r="G28" s="155">
        <f>'2 lentele'!K17+'2 lentele'!K119+'2 lentele'!K120+'2 lentele'!K121</f>
        <v>7650000</v>
      </c>
      <c r="H28" s="155">
        <f>'2 lentele'!K15+'2 lentele'!K16+'2 lentele'!K129+'2 lentele'!K130+'2 lentele'!K131+'2 lentele'!K132+'2 lentele'!K317+G28</f>
        <v>37400440</v>
      </c>
      <c r="I28" s="155">
        <v>0</v>
      </c>
      <c r="J28" s="155">
        <v>0</v>
      </c>
    </row>
    <row r="29" spans="1:10" ht="31.5" x14ac:dyDescent="0.25">
      <c r="A29" s="157" t="s">
        <v>1207</v>
      </c>
      <c r="B29" s="325" t="s">
        <v>1282</v>
      </c>
      <c r="C29" s="155">
        <v>0</v>
      </c>
      <c r="D29" s="155">
        <v>0</v>
      </c>
      <c r="E29" s="155">
        <v>0</v>
      </c>
      <c r="F29" s="155">
        <f>'2 lentele'!K38+'2 lentele'!K41+'2 lentele'!K53</f>
        <v>2710949.0700000003</v>
      </c>
      <c r="G29" s="155">
        <f>'2 lentele'!K43+'2 lentele'!K44+'2 lentele'!K46+'2 lentele'!K52+'2 lentele'!K54+F29</f>
        <v>10819329.59</v>
      </c>
      <c r="H29" s="155">
        <f>'2 lentele'!K42+'2 lentele'!K31+'2 lentele'!K28+'2 lentele'!K26+'2 lentele'!K47+'2 lentele'!K48+'2 lentele'!K49+'2 lentele'!K55+'2 lentele'!K39+'2 lentele'!K50+'2 lentele'!K45+'2 lentele'!K51+'2 lentele'!K57+G29</f>
        <v>32466539.029999997</v>
      </c>
      <c r="I29" s="155">
        <v>0</v>
      </c>
      <c r="J29" s="155">
        <v>0</v>
      </c>
    </row>
    <row r="30" spans="1:10" ht="47.25" x14ac:dyDescent="0.25">
      <c r="A30" s="157" t="s">
        <v>1414</v>
      </c>
      <c r="B30" s="325" t="s">
        <v>1283</v>
      </c>
      <c r="C30" s="155">
        <v>0</v>
      </c>
      <c r="D30" s="155">
        <v>0</v>
      </c>
      <c r="E30" s="155">
        <v>0</v>
      </c>
      <c r="F30" s="155">
        <f>'2 lentele'!K297</f>
        <v>1543778.24</v>
      </c>
      <c r="G30" s="155">
        <f>'2 lentele'!K295+'2 lentele'!K296+'2 lentele'!K298+F30</f>
        <v>16446847.24</v>
      </c>
      <c r="H30" s="155">
        <v>0</v>
      </c>
      <c r="I30" s="155">
        <v>0</v>
      </c>
      <c r="J30" s="155">
        <v>0</v>
      </c>
    </row>
    <row r="31" spans="1:10" ht="47.25" x14ac:dyDescent="0.25">
      <c r="A31" s="157" t="s">
        <v>30</v>
      </c>
      <c r="B31" s="325" t="s">
        <v>1284</v>
      </c>
      <c r="C31" s="155">
        <v>0</v>
      </c>
      <c r="D31" s="155">
        <v>0</v>
      </c>
      <c r="E31" s="155">
        <v>0</v>
      </c>
      <c r="F31" s="155">
        <v>0</v>
      </c>
      <c r="G31" s="155">
        <f>'2 lentele'!K228+'2 lentele'!K231+'2 lentele'!K232+'2 lentele'!K233+'2 lentele'!K234+'2 lentele'!K237+'2 lentele'!K239</f>
        <v>4003756.7500000005</v>
      </c>
      <c r="H31" s="155">
        <f>+'2 lentele'!K230+G31</f>
        <v>4418613.58</v>
      </c>
      <c r="I31" s="155">
        <f>H31+'2 lentele'!K240</f>
        <v>4808613.58</v>
      </c>
      <c r="J31" s="155">
        <v>0</v>
      </c>
    </row>
    <row r="32" spans="1:10" ht="31.5" x14ac:dyDescent="0.25">
      <c r="A32" s="157" t="s">
        <v>1209</v>
      </c>
      <c r="B32" s="325" t="s">
        <v>1285</v>
      </c>
      <c r="C32" s="155">
        <v>0</v>
      </c>
      <c r="D32" s="155">
        <v>0</v>
      </c>
      <c r="E32" s="155">
        <v>0</v>
      </c>
      <c r="F32" s="155">
        <f>'2 lentele'!K243+'2 lentele'!K246+'2 lentele'!K247+'2 lentele'!K248+'2 lentele'!K249+'2 lentele'!K250+'2 lentele'!K251+'2 lentele'!K252</f>
        <v>11909839.470000001</v>
      </c>
      <c r="G32" s="155">
        <v>0</v>
      </c>
      <c r="H32" s="155">
        <v>0</v>
      </c>
      <c r="I32" s="155">
        <v>0</v>
      </c>
      <c r="J32" s="155">
        <v>0</v>
      </c>
    </row>
    <row r="33" spans="1:11" ht="63" x14ac:dyDescent="0.25">
      <c r="A33" s="157" t="s">
        <v>1413</v>
      </c>
      <c r="B33" s="325" t="s">
        <v>1286</v>
      </c>
      <c r="C33" s="155">
        <v>0</v>
      </c>
      <c r="D33" s="155">
        <v>0</v>
      </c>
      <c r="E33" s="155">
        <v>0</v>
      </c>
      <c r="F33" s="155">
        <v>0</v>
      </c>
      <c r="G33" s="155">
        <f>'2 lentele'!K282+'2 lentele'!K274</f>
        <v>739246.57599629287</v>
      </c>
      <c r="H33" s="155">
        <f>'2 lentele'!K275+'2 lentele'!K278+'2 lentele'!K279+G33</f>
        <v>3094150.5759962928</v>
      </c>
      <c r="I33" s="155">
        <v>0</v>
      </c>
      <c r="J33" s="155">
        <v>0</v>
      </c>
    </row>
    <row r="34" spans="1:11" ht="47.25" x14ac:dyDescent="0.25">
      <c r="A34" s="157" t="s">
        <v>1242</v>
      </c>
      <c r="B34" s="325" t="s">
        <v>1287</v>
      </c>
      <c r="C34" s="155">
        <v>0</v>
      </c>
      <c r="D34" s="155">
        <v>0</v>
      </c>
      <c r="E34" s="155">
        <v>0</v>
      </c>
      <c r="F34" s="155">
        <v>0</v>
      </c>
      <c r="G34" s="155">
        <f>'2 lentele'!K306+'2 lentele'!K309</f>
        <v>1823183.6099999999</v>
      </c>
      <c r="H34" s="155">
        <f>'2 lentele'!K305+'2 lentele'!K311+'2 lentele'!K351+'2 lentele'!K313+'2 lentele'!K307+'2 lentele'!K334+G34+'2 lentele'!K310</f>
        <v>7966030.7699999996</v>
      </c>
      <c r="I34" s="155">
        <f>'2 lentele'!K312+H34</f>
        <v>8818971.9499999993</v>
      </c>
      <c r="J34" s="155">
        <v>0</v>
      </c>
    </row>
    <row r="35" spans="1:11" ht="157.5" x14ac:dyDescent="0.25">
      <c r="A35" s="157" t="s">
        <v>1871</v>
      </c>
      <c r="B35" s="325" t="s">
        <v>1874</v>
      </c>
      <c r="C35" s="155">
        <v>0</v>
      </c>
      <c r="D35" s="155">
        <v>0</v>
      </c>
      <c r="E35" s="155">
        <v>0</v>
      </c>
      <c r="F35" s="155">
        <v>0</v>
      </c>
      <c r="G35" s="155">
        <v>0</v>
      </c>
      <c r="H35" s="155">
        <f>'2 lentele'!K283+'2 lentele'!K284+'2 lentele'!K285+'2 lentele'!K286+'2 lentele'!K287+'2 lentele'!K288+'2 lentele'!K289</f>
        <v>175868.27000000002</v>
      </c>
      <c r="I35" s="155">
        <v>0</v>
      </c>
      <c r="J35" s="155">
        <v>0</v>
      </c>
    </row>
    <row r="36" spans="1:11" ht="63" x14ac:dyDescent="0.25">
      <c r="A36" s="157" t="s">
        <v>1412</v>
      </c>
      <c r="B36" s="325" t="s">
        <v>1288</v>
      </c>
      <c r="C36" s="155">
        <v>0</v>
      </c>
      <c r="D36" s="155">
        <v>0</v>
      </c>
      <c r="E36" s="155">
        <v>0</v>
      </c>
      <c r="F36" s="155">
        <v>0</v>
      </c>
      <c r="G36" s="155">
        <v>0</v>
      </c>
      <c r="H36" s="155">
        <f>+'2 lentele'!K260+'2 lentele'!K261+'2 lentele'!K262+'2 lentele'!K263+'2 lentele'!K258+'2 lentele'!K259+G36+'2 lentele'!K264+'2 lentele'!K265</f>
        <v>1658562.3699999999</v>
      </c>
      <c r="I36" s="155">
        <v>0</v>
      </c>
      <c r="J36" s="155">
        <v>0</v>
      </c>
    </row>
    <row r="37" spans="1:11" ht="78.75" x14ac:dyDescent="0.25">
      <c r="A37" s="157" t="s">
        <v>1240</v>
      </c>
      <c r="B37" s="325" t="s">
        <v>1289</v>
      </c>
      <c r="C37" s="155">
        <v>0</v>
      </c>
      <c r="D37" s="155">
        <v>0</v>
      </c>
      <c r="E37" s="155">
        <v>0</v>
      </c>
      <c r="F37" s="155">
        <v>0</v>
      </c>
      <c r="G37" s="155">
        <f>'2 lentele'!K159</f>
        <v>47553</v>
      </c>
      <c r="H37" s="155">
        <f>'2 lentele'!K160+'2 lentele'!K161+'2 lentele'!K162+'2 lentele'!K178+'2 lentele'!K180+'2 lentele'!K182+'2 lentele'!K163+'2 lentele'!K164+'2 lentele'!K165+'2 lentele'!K168+'2 lentele'!K195+'2 lentele'!K196+G37</f>
        <v>4097770.08</v>
      </c>
      <c r="I37" s="155">
        <v>0</v>
      </c>
      <c r="J37" s="155">
        <v>0</v>
      </c>
    </row>
    <row r="38" spans="1:11" ht="47.25" x14ac:dyDescent="0.25">
      <c r="A38" s="157" t="s">
        <v>1241</v>
      </c>
      <c r="B38" s="325" t="s">
        <v>1290</v>
      </c>
      <c r="C38" s="155">
        <v>0</v>
      </c>
      <c r="D38" s="155">
        <v>0</v>
      </c>
      <c r="E38" s="155">
        <v>0</v>
      </c>
      <c r="F38" s="155">
        <v>0</v>
      </c>
      <c r="G38" s="155">
        <f>'2 lentele'!K152+'2 lentele'!K153+'2 lentele'!K154+'2 lentele'!K156+'2 lentele'!K194</f>
        <v>2906619.64</v>
      </c>
      <c r="H38" s="155">
        <f>'2 lentele'!K157+'2 lentele'!K181+'2 lentele'!K192+'2 lentele'!K193+G38</f>
        <v>4806298.2</v>
      </c>
      <c r="I38" s="155">
        <v>0</v>
      </c>
      <c r="J38" s="155">
        <v>0</v>
      </c>
    </row>
    <row r="39" spans="1:11" ht="63" x14ac:dyDescent="0.25">
      <c r="A39" s="157" t="s">
        <v>1410</v>
      </c>
      <c r="B39" s="325" t="s">
        <v>1291</v>
      </c>
      <c r="C39" s="155">
        <v>0</v>
      </c>
      <c r="D39" s="155">
        <v>0</v>
      </c>
      <c r="E39" s="155">
        <v>0</v>
      </c>
      <c r="F39" s="155">
        <v>0</v>
      </c>
      <c r="G39" s="155">
        <f>'2 lentele'!K210+'2 lentele'!K211+'2 lentele'!K212+'2 lentele'!K213+'2 lentele'!K214+'2 lentele'!K215+'2 lentele'!K216+'2 lentele'!K218</f>
        <v>3423385.82</v>
      </c>
      <c r="H39" s="155">
        <f>'2 lentele'!K217+G39</f>
        <v>3629474.1999999997</v>
      </c>
      <c r="I39" s="155">
        <v>0</v>
      </c>
      <c r="J39" s="155">
        <v>0</v>
      </c>
    </row>
    <row r="40" spans="1:11" ht="63" x14ac:dyDescent="0.25">
      <c r="A40" s="157" t="s">
        <v>121</v>
      </c>
      <c r="B40" s="325" t="s">
        <v>1292</v>
      </c>
      <c r="C40" s="155">
        <v>0</v>
      </c>
      <c r="D40" s="155">
        <v>0</v>
      </c>
      <c r="E40" s="155">
        <v>0</v>
      </c>
      <c r="F40" s="155">
        <v>0</v>
      </c>
      <c r="G40" s="155">
        <v>0</v>
      </c>
      <c r="H40" s="155">
        <f>'2 lentele'!K200+'2 lentele'!K201+'2 lentele'!K202+'2 lentele'!K204</f>
        <v>1471519.46</v>
      </c>
      <c r="I40" s="155">
        <f>'2 lentele'!K203+H40</f>
        <v>2224489.46</v>
      </c>
      <c r="J40" s="155">
        <v>0</v>
      </c>
    </row>
    <row r="41" spans="1:11" ht="63" x14ac:dyDescent="0.25">
      <c r="A41" s="157" t="s">
        <v>1183</v>
      </c>
      <c r="B41" s="325" t="s">
        <v>1293</v>
      </c>
      <c r="C41" s="155">
        <v>0</v>
      </c>
      <c r="D41" s="155">
        <v>0</v>
      </c>
      <c r="E41" s="155">
        <v>0</v>
      </c>
      <c r="F41" s="155">
        <f>'2 lentele'!K328</f>
        <v>380638</v>
      </c>
      <c r="G41" s="155">
        <f>'2 lentele'!K179+'2 lentele'!K325+'2 lentele'!K326+'2 lentele'!K327+'2 lentele'!K329+'2 lentele'!K335+'2 lentele'!K336+'2 lentele'!K337+'2 lentele'!K338+'2 lentele'!K339+'2 lentele'!K340+'2 lentele'!K341+'2 lentele'!K342+'2 lentele'!K343+'2 lentele'!K344+'2 lentele'!K345+'2 lentele'!K346+'2 lentele'!K347+'2 lentele'!K348+'2 lentele'!K349+'2 lentele'!K350+'2 lentele'!K352+'2 lentele'!K354+'2 lentele'!K355+'2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lentele'!K385+F41</f>
        <v>7567919.6999999993</v>
      </c>
      <c r="H41" s="155">
        <f>'2 lentele'!K353+G41</f>
        <v>7847919.6999999993</v>
      </c>
      <c r="I41" s="155">
        <v>0</v>
      </c>
      <c r="J41" s="155">
        <f>'2 lentele'!K330+'2 lentele'!K331+'2 lentele'!K332+'2 lentele'!K333+H41</f>
        <v>9207919.6999999993</v>
      </c>
    </row>
    <row r="42" spans="1:11" ht="63" x14ac:dyDescent="0.25">
      <c r="A42" s="157" t="s">
        <v>1841</v>
      </c>
      <c r="B42" s="325" t="s">
        <v>1840</v>
      </c>
      <c r="C42" s="155">
        <v>0</v>
      </c>
      <c r="D42" s="155">
        <v>0</v>
      </c>
      <c r="E42" s="155">
        <v>0</v>
      </c>
      <c r="F42" s="155">
        <f>+'2 lentele'!K184</f>
        <v>2241000</v>
      </c>
      <c r="G42" s="155">
        <v>0</v>
      </c>
      <c r="H42" s="155">
        <v>0</v>
      </c>
      <c r="I42" s="155">
        <v>0</v>
      </c>
      <c r="J42" s="155">
        <v>0</v>
      </c>
      <c r="K42" s="390"/>
    </row>
    <row r="43" spans="1:11" ht="15.75" x14ac:dyDescent="0.25">
      <c r="A43" s="157" t="s">
        <v>843</v>
      </c>
      <c r="B43" s="156"/>
      <c r="C43" s="155">
        <f>'2 lentele'!K446+'2 lentele'!K447</f>
        <v>492929</v>
      </c>
      <c r="D43" s="155">
        <v>0</v>
      </c>
      <c r="E43" s="155">
        <v>0</v>
      </c>
      <c r="F43" s="155">
        <v>0</v>
      </c>
      <c r="G43" s="155">
        <f>'2 lentele'!K448+C43</f>
        <v>842767</v>
      </c>
      <c r="H43" s="155">
        <f>'2 lentele'!K445+G43</f>
        <v>1222767</v>
      </c>
      <c r="I43" s="155">
        <v>0</v>
      </c>
      <c r="J43" s="155">
        <v>0</v>
      </c>
      <c r="K43" s="390"/>
    </row>
    <row r="44" spans="1:11" ht="15.75" x14ac:dyDescent="0.25">
      <c r="A44" s="157" t="s">
        <v>816</v>
      </c>
      <c r="B44" s="156"/>
      <c r="C44" s="155">
        <v>0</v>
      </c>
      <c r="D44" s="155">
        <f>'2 lentele'!K25</f>
        <v>260658</v>
      </c>
      <c r="E44" s="155">
        <v>0</v>
      </c>
      <c r="F44" s="155">
        <f>'2 lentele'!K183+'2 lentele'!K186+'2 lentele'!K188+'2 lentele'!K190+'2 lentele'!K191+'2 lentele'!K276+'2 lentele'!K277+'2 lentele'!K293+'2 lentele'!K294+D44</f>
        <v>7259459</v>
      </c>
      <c r="G44" s="155">
        <f>'2 lentele'!K155+'2 lentele'!K172+'2 lentele'!K185+'2 lentele'!K187+'2 lentele'!K189+'2 lentele'!K271+'2 lentele'!K272+'2 lentele'!K273+F44</f>
        <v>17885563</v>
      </c>
      <c r="H44" s="155">
        <v>0</v>
      </c>
      <c r="I44" s="155">
        <v>0</v>
      </c>
      <c r="J44" s="155">
        <v>0</v>
      </c>
      <c r="K44" s="390"/>
    </row>
  </sheetData>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5" firstPageNumber="177" fitToHeight="0" orientation="landscape" useFirstPageNumber="1" r:id="rId1"/>
  <headerFooter>
    <oddHeader>&amp;L&amp;G&amp;RKauno regiono plėtros planas iki 2020 metų</oddHeader>
    <oddFooter>&amp;R&amp;P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workbookViewId="0">
      <selection activeCell="AM26" sqref="AM26"/>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2" t="s">
        <v>439</v>
      </c>
      <c r="E1" s="502"/>
      <c r="F1" s="502"/>
      <c r="G1" s="502"/>
    </row>
    <row r="2" spans="1:33" ht="15.75" x14ac:dyDescent="0.25">
      <c r="D2" s="503" t="s">
        <v>440</v>
      </c>
      <c r="E2" s="503"/>
      <c r="F2" s="503"/>
      <c r="G2" s="503"/>
    </row>
    <row r="3" spans="1:33" ht="15.75" x14ac:dyDescent="0.25">
      <c r="D3" s="503" t="s">
        <v>441</v>
      </c>
      <c r="E3" s="503"/>
      <c r="F3" s="503"/>
      <c r="G3" s="503"/>
    </row>
    <row r="4" spans="1:33" ht="15.75" x14ac:dyDescent="0.25">
      <c r="A4" s="154" t="s">
        <v>1107</v>
      </c>
    </row>
    <row r="5" spans="1:33" ht="64.5" thickBot="1" x14ac:dyDescent="0.3">
      <c r="A5" s="113" t="s">
        <v>302</v>
      </c>
      <c r="B5" s="113" t="s">
        <v>332</v>
      </c>
      <c r="C5" s="113" t="s">
        <v>1108</v>
      </c>
      <c r="D5" s="113" t="s">
        <v>331</v>
      </c>
      <c r="E5" s="113" t="s">
        <v>330</v>
      </c>
      <c r="G5" s="182" t="s">
        <v>301</v>
      </c>
      <c r="K5" s="509" t="s">
        <v>300</v>
      </c>
      <c r="L5" s="509"/>
      <c r="M5" s="509"/>
      <c r="O5" s="509" t="s">
        <v>298</v>
      </c>
      <c r="P5" s="509"/>
      <c r="Q5" s="509"/>
      <c r="S5" t="s">
        <v>297</v>
      </c>
      <c r="W5" s="510" t="s">
        <v>296</v>
      </c>
      <c r="X5" s="509"/>
      <c r="Y5" s="509"/>
      <c r="AA5" s="509" t="s">
        <v>295</v>
      </c>
      <c r="AB5" s="509"/>
      <c r="AC5" s="509"/>
      <c r="AE5" s="509" t="s">
        <v>294</v>
      </c>
      <c r="AF5" s="509"/>
      <c r="AG5" s="509"/>
    </row>
    <row r="6" spans="1:33" ht="16.5" thickBot="1" x14ac:dyDescent="0.3">
      <c r="A6" s="322">
        <v>1</v>
      </c>
      <c r="B6" s="323" t="s">
        <v>329</v>
      </c>
      <c r="C6" s="171">
        <v>0</v>
      </c>
      <c r="D6" s="171">
        <v>0</v>
      </c>
      <c r="E6" s="170">
        <v>0</v>
      </c>
      <c r="G6" s="174">
        <v>0</v>
      </c>
      <c r="H6" s="174">
        <v>0</v>
      </c>
      <c r="I6" s="173">
        <v>0</v>
      </c>
      <c r="K6" s="164"/>
      <c r="L6" s="164"/>
      <c r="M6" s="163"/>
      <c r="O6" s="176"/>
      <c r="P6" s="176"/>
      <c r="Q6" s="175"/>
      <c r="S6" s="164"/>
      <c r="T6" s="164"/>
      <c r="U6" s="163"/>
      <c r="W6" s="164">
        <v>1</v>
      </c>
      <c r="X6" s="164">
        <v>1</v>
      </c>
      <c r="Y6" s="165">
        <v>325820</v>
      </c>
      <c r="AA6" s="164">
        <v>0</v>
      </c>
      <c r="AB6" s="164">
        <v>0</v>
      </c>
      <c r="AC6" s="163">
        <v>0</v>
      </c>
      <c r="AE6" s="164"/>
      <c r="AF6" s="164"/>
      <c r="AG6" s="163"/>
    </row>
    <row r="7" spans="1:33" ht="16.5" thickBot="1" x14ac:dyDescent="0.3">
      <c r="A7" s="322">
        <v>2</v>
      </c>
      <c r="B7" s="323" t="s">
        <v>1252</v>
      </c>
      <c r="C7" s="171">
        <v>4</v>
      </c>
      <c r="D7" s="171">
        <v>4</v>
      </c>
      <c r="E7" s="170">
        <f>'2 lentele'!K250+'2 lentele'!K293+'2 lentele'!K294+'2 lentele'!K330</f>
        <v>5289210</v>
      </c>
      <c r="G7" s="174">
        <v>0</v>
      </c>
      <c r="H7" s="174">
        <v>0</v>
      </c>
      <c r="I7" s="173">
        <v>0</v>
      </c>
      <c r="K7" s="164"/>
      <c r="L7" s="164"/>
      <c r="M7" s="163"/>
      <c r="O7" s="176"/>
      <c r="P7" s="176"/>
      <c r="Q7" s="175"/>
      <c r="S7" s="164"/>
      <c r="T7" s="164"/>
      <c r="U7" s="163"/>
      <c r="W7" s="164">
        <v>8</v>
      </c>
      <c r="X7" s="164">
        <v>8</v>
      </c>
      <c r="Y7" s="165">
        <v>9018060</v>
      </c>
      <c r="AA7" s="164">
        <v>3</v>
      </c>
      <c r="AB7" s="164">
        <v>3</v>
      </c>
      <c r="AC7" s="163">
        <v>3427848</v>
      </c>
      <c r="AE7" s="164"/>
      <c r="AF7" s="164"/>
      <c r="AG7" s="163"/>
    </row>
    <row r="8" spans="1:33" ht="16.5" thickBot="1" x14ac:dyDescent="0.3">
      <c r="A8" s="322">
        <v>3</v>
      </c>
      <c r="B8" s="323" t="s">
        <v>328</v>
      </c>
      <c r="C8" s="171">
        <v>0</v>
      </c>
      <c r="D8" s="171">
        <v>0</v>
      </c>
      <c r="E8" s="170">
        <f>I8+M8+Q8+U8+Y8+AC8+AG8</f>
        <v>0</v>
      </c>
      <c r="G8" s="174">
        <v>0</v>
      </c>
      <c r="H8" s="174">
        <v>0</v>
      </c>
      <c r="I8" s="173">
        <v>0</v>
      </c>
      <c r="K8" s="164"/>
      <c r="L8" s="164"/>
      <c r="M8" s="163"/>
      <c r="O8" s="176"/>
      <c r="P8" s="176"/>
      <c r="Q8" s="175"/>
      <c r="S8" s="164"/>
      <c r="T8" s="164"/>
      <c r="U8" s="163"/>
      <c r="W8" s="164">
        <v>1</v>
      </c>
      <c r="X8" s="164">
        <v>1</v>
      </c>
      <c r="Y8" s="165">
        <v>0</v>
      </c>
      <c r="AA8" s="164">
        <v>0</v>
      </c>
      <c r="AB8" s="164">
        <v>0</v>
      </c>
      <c r="AC8" s="163">
        <v>0</v>
      </c>
      <c r="AE8" s="164"/>
      <c r="AF8" s="164"/>
      <c r="AG8" s="163"/>
    </row>
    <row r="9" spans="1:33" ht="16.5" thickBot="1" x14ac:dyDescent="0.3">
      <c r="A9" s="322">
        <v>4</v>
      </c>
      <c r="B9" s="323" t="s">
        <v>327</v>
      </c>
      <c r="C9" s="171">
        <v>0</v>
      </c>
      <c r="D9" s="171">
        <v>0</v>
      </c>
      <c r="E9" s="170">
        <v>0</v>
      </c>
      <c r="G9" s="174">
        <v>0</v>
      </c>
      <c r="H9" s="174">
        <v>0</v>
      </c>
      <c r="I9" s="173">
        <v>0</v>
      </c>
      <c r="K9" s="164"/>
      <c r="L9" s="164"/>
      <c r="M9" s="163"/>
      <c r="O9" s="176"/>
      <c r="P9" s="176"/>
      <c r="Q9" s="175"/>
      <c r="S9" s="164"/>
      <c r="T9" s="164"/>
      <c r="U9" s="163"/>
      <c r="W9" s="164">
        <v>2</v>
      </c>
      <c r="X9" s="164">
        <v>2</v>
      </c>
      <c r="Y9" s="165">
        <v>23872400</v>
      </c>
      <c r="AA9" s="164">
        <v>0</v>
      </c>
      <c r="AB9" s="164">
        <v>0</v>
      </c>
      <c r="AC9" s="163">
        <v>0</v>
      </c>
      <c r="AE9" s="164"/>
      <c r="AF9" s="164"/>
      <c r="AG9" s="163"/>
    </row>
    <row r="10" spans="1:33" ht="32.25" customHeight="1" thickBot="1" x14ac:dyDescent="0.3">
      <c r="A10" s="322">
        <v>5</v>
      </c>
      <c r="B10" s="323" t="s">
        <v>1253</v>
      </c>
      <c r="C10" s="171">
        <v>7</v>
      </c>
      <c r="D10" s="171">
        <v>7</v>
      </c>
      <c r="E10" s="170">
        <f>'2 lentele'!K396+'2 lentele'!K397+'2 lentele'!K398+'2 lentele'!K399+'2 lentele'!K400+'2 lentele'!K401+'2 lentele'!K402</f>
        <v>19236904.050000001</v>
      </c>
      <c r="G10" s="174">
        <v>0</v>
      </c>
      <c r="H10" s="174">
        <v>0</v>
      </c>
      <c r="I10" s="173">
        <v>0</v>
      </c>
      <c r="K10" s="164"/>
      <c r="L10" s="164"/>
      <c r="M10" s="163"/>
      <c r="O10" s="167">
        <v>1</v>
      </c>
      <c r="P10" s="167">
        <v>1</v>
      </c>
      <c r="Q10" s="177">
        <v>600194.93999999994</v>
      </c>
      <c r="S10" s="164"/>
      <c r="T10" s="164"/>
      <c r="U10" s="163"/>
      <c r="W10" s="164">
        <v>2</v>
      </c>
      <c r="X10" s="164">
        <v>2</v>
      </c>
      <c r="Y10" s="165">
        <v>1580900</v>
      </c>
      <c r="AA10" s="164">
        <v>1</v>
      </c>
      <c r="AB10" s="164">
        <v>1</v>
      </c>
      <c r="AC10" s="163">
        <v>1885249</v>
      </c>
      <c r="AE10" s="164">
        <v>1</v>
      </c>
      <c r="AF10" s="164">
        <v>1</v>
      </c>
      <c r="AG10" s="163">
        <v>1617886.98</v>
      </c>
    </row>
    <row r="11" spans="1:33" ht="16.5" thickBot="1" x14ac:dyDescent="0.3">
      <c r="A11" s="322">
        <v>6</v>
      </c>
      <c r="B11" s="323" t="s">
        <v>1254</v>
      </c>
      <c r="C11" s="171">
        <v>13</v>
      </c>
      <c r="D11" s="171">
        <v>11</v>
      </c>
      <c r="E11" s="170">
        <f>'2 lentele'!K412+'2 lentele'!K423+'2 lentele'!K424+'2 lentele'!K425+'2 lentele'!K426+'2 lentele'!K428+'2 lentele'!K433+'2 lentele'!K432+'2 lentele'!K434+'2 lentele'!K435+'2 lentele'!K437</f>
        <v>41457158.780000001</v>
      </c>
      <c r="G11" s="174">
        <v>0</v>
      </c>
      <c r="H11" s="174">
        <v>0</v>
      </c>
      <c r="I11" s="173">
        <v>0</v>
      </c>
      <c r="K11" s="164"/>
      <c r="L11" s="164"/>
      <c r="M11" s="163"/>
      <c r="O11" s="176"/>
      <c r="P11" s="176"/>
      <c r="Q11" s="175"/>
      <c r="S11" s="164"/>
      <c r="T11" s="164"/>
      <c r="U11" s="163"/>
      <c r="W11" s="164">
        <v>2</v>
      </c>
      <c r="X11" s="164">
        <v>2</v>
      </c>
      <c r="Y11" s="165">
        <v>726000</v>
      </c>
      <c r="AA11" s="164">
        <v>0</v>
      </c>
      <c r="AB11" s="164">
        <v>0</v>
      </c>
      <c r="AC11" s="163">
        <v>0</v>
      </c>
      <c r="AE11" s="164">
        <v>1</v>
      </c>
      <c r="AF11" s="164">
        <v>1</v>
      </c>
      <c r="AG11" s="163">
        <v>1839649.84</v>
      </c>
    </row>
    <row r="12" spans="1:33" ht="16.5" thickBot="1" x14ac:dyDescent="0.3">
      <c r="A12" s="322">
        <v>7</v>
      </c>
      <c r="B12" s="323" t="s">
        <v>1255</v>
      </c>
      <c r="C12" s="171">
        <v>22</v>
      </c>
      <c r="D12" s="171">
        <v>18</v>
      </c>
      <c r="E12" s="170">
        <f>'2 lentele'!K353+'2 lentele'!K411+'2 lentele'!K415+'2 lentele'!K416+'2 lentele'!K417+'2 lentele'!K418+'2 lentele'!K419+'2 lentele'!K420+'2 lentele'!K421+'2 lentele'!K422+'2 lentele'!K427+'2 lentele'!K429+'2 lentele'!K430+'2 lentele'!K431+'2 lentele'!K436+'2 lentele'!K438+'2 lentele'!K313+'2 lentele'!K413</f>
        <v>30873461.16</v>
      </c>
      <c r="G12" s="174">
        <v>0</v>
      </c>
      <c r="H12" s="174">
        <v>0</v>
      </c>
      <c r="I12" s="173">
        <v>0</v>
      </c>
      <c r="K12" s="164"/>
      <c r="L12" s="164"/>
      <c r="M12" s="163"/>
      <c r="O12" s="176"/>
      <c r="P12" s="176"/>
      <c r="Q12" s="175"/>
      <c r="S12" s="164"/>
      <c r="T12" s="164"/>
      <c r="U12" s="163"/>
      <c r="W12" s="164">
        <v>1</v>
      </c>
      <c r="X12" s="164">
        <v>1</v>
      </c>
      <c r="Y12" s="165">
        <v>702000</v>
      </c>
      <c r="AA12" s="164">
        <v>2</v>
      </c>
      <c r="AB12" s="164">
        <v>2</v>
      </c>
      <c r="AC12" s="163">
        <v>3919380.9</v>
      </c>
      <c r="AE12" s="164">
        <v>1</v>
      </c>
      <c r="AF12" s="164">
        <v>1</v>
      </c>
      <c r="AG12" s="163">
        <v>2066462.55</v>
      </c>
    </row>
    <row r="13" spans="1:33" ht="15.75" customHeight="1" thickBot="1" x14ac:dyDescent="0.3">
      <c r="A13" s="322">
        <v>8</v>
      </c>
      <c r="B13" s="323" t="s">
        <v>1256</v>
      </c>
      <c r="C13" s="171">
        <f>G13+K13+O13+S13+AA13+AE13+W13</f>
        <v>3</v>
      </c>
      <c r="D13" s="171">
        <f>H13+L13+P13+T13+X13+AB13+AF13</f>
        <v>3</v>
      </c>
      <c r="E13" s="170">
        <f>'2 lentele'!K302+'2 lentele'!K303+'2 lentele'!K308</f>
        <v>18437562.079999998</v>
      </c>
      <c r="G13" s="174">
        <v>0</v>
      </c>
      <c r="H13" s="174">
        <v>0</v>
      </c>
      <c r="I13" s="173">
        <v>0</v>
      </c>
      <c r="K13" s="164"/>
      <c r="L13" s="164"/>
      <c r="M13" s="163"/>
      <c r="O13" s="176"/>
      <c r="P13" s="176"/>
      <c r="Q13" s="175"/>
      <c r="S13" s="164"/>
      <c r="T13" s="164"/>
      <c r="U13" s="163"/>
      <c r="W13" s="164">
        <v>2</v>
      </c>
      <c r="X13" s="164">
        <v>2</v>
      </c>
      <c r="Y13" s="165">
        <v>6030000</v>
      </c>
      <c r="AA13" s="164">
        <v>0</v>
      </c>
      <c r="AB13" s="164">
        <v>0</v>
      </c>
      <c r="AC13" s="163">
        <v>0</v>
      </c>
      <c r="AE13" s="164">
        <v>1</v>
      </c>
      <c r="AF13" s="164">
        <v>1</v>
      </c>
      <c r="AG13" s="163">
        <v>2632759.17</v>
      </c>
    </row>
    <row r="14" spans="1:33" ht="18" customHeight="1" thickBot="1" x14ac:dyDescent="0.3">
      <c r="A14" s="322">
        <v>9</v>
      </c>
      <c r="B14" s="323" t="s">
        <v>1257</v>
      </c>
      <c r="C14" s="171">
        <v>0</v>
      </c>
      <c r="D14" s="171">
        <v>0</v>
      </c>
      <c r="E14" s="170">
        <v>0</v>
      </c>
      <c r="G14" s="174">
        <v>0</v>
      </c>
      <c r="H14" s="174">
        <v>0</v>
      </c>
      <c r="I14" s="173">
        <v>0</v>
      </c>
      <c r="K14" s="164"/>
      <c r="L14" s="164"/>
      <c r="M14" s="163"/>
      <c r="O14" s="176"/>
      <c r="P14" s="176"/>
      <c r="Q14" s="175"/>
      <c r="S14" s="164"/>
      <c r="T14" s="164"/>
      <c r="U14" s="163"/>
      <c r="W14" s="164">
        <v>1</v>
      </c>
      <c r="X14" s="164">
        <v>1</v>
      </c>
      <c r="Y14" s="165">
        <v>2132000</v>
      </c>
      <c r="AA14" s="164">
        <v>0</v>
      </c>
      <c r="AB14" s="164">
        <v>0</v>
      </c>
      <c r="AC14" s="163">
        <v>0</v>
      </c>
      <c r="AE14" s="164"/>
      <c r="AF14" s="164"/>
      <c r="AG14" s="163"/>
    </row>
    <row r="15" spans="1:33" ht="15.75" customHeight="1" thickBot="1" x14ac:dyDescent="0.3">
      <c r="A15" s="322">
        <v>10</v>
      </c>
      <c r="B15" s="323" t="s">
        <v>1258</v>
      </c>
      <c r="C15" s="171">
        <v>3</v>
      </c>
      <c r="D15" s="171">
        <v>3</v>
      </c>
      <c r="E15" s="170">
        <f>'2 lentele'!K108+'2 lentele'!K450+'2 lentele'!K109</f>
        <v>9429881.25</v>
      </c>
      <c r="G15" s="174">
        <v>0</v>
      </c>
      <c r="H15" s="174">
        <v>0</v>
      </c>
      <c r="I15" s="173">
        <v>0</v>
      </c>
      <c r="K15" s="164"/>
      <c r="L15" s="164"/>
      <c r="M15" s="163"/>
      <c r="O15" s="176"/>
      <c r="P15" s="176"/>
      <c r="Q15" s="175"/>
      <c r="S15" s="164"/>
      <c r="T15" s="164"/>
      <c r="U15" s="163"/>
      <c r="W15" s="164">
        <v>1</v>
      </c>
      <c r="X15" s="164">
        <v>1</v>
      </c>
      <c r="Y15" s="165">
        <v>7000000</v>
      </c>
      <c r="AA15" s="164">
        <v>0</v>
      </c>
      <c r="AB15" s="164">
        <v>0</v>
      </c>
      <c r="AC15" s="163">
        <v>0</v>
      </c>
      <c r="AE15" s="164">
        <v>1</v>
      </c>
      <c r="AF15" s="164">
        <v>1</v>
      </c>
      <c r="AG15" s="163">
        <v>445568</v>
      </c>
    </row>
    <row r="16" spans="1:33" ht="16.5" customHeight="1" thickBot="1" x14ac:dyDescent="0.3">
      <c r="A16" s="322">
        <v>11</v>
      </c>
      <c r="B16" s="323" t="s">
        <v>1465</v>
      </c>
      <c r="C16" s="171">
        <v>0</v>
      </c>
      <c r="D16" s="171">
        <v>0</v>
      </c>
      <c r="E16" s="170">
        <v>0</v>
      </c>
      <c r="G16" s="174">
        <v>0</v>
      </c>
      <c r="H16" s="174">
        <v>0</v>
      </c>
      <c r="I16" s="173">
        <v>0</v>
      </c>
      <c r="K16" s="164"/>
      <c r="L16" s="164"/>
      <c r="M16" s="163"/>
      <c r="O16" s="176"/>
      <c r="P16" s="176"/>
      <c r="Q16" s="175"/>
      <c r="S16" s="164"/>
      <c r="T16" s="164"/>
      <c r="U16" s="163"/>
      <c r="W16" s="164"/>
      <c r="X16" s="164"/>
      <c r="Y16" s="165">
        <v>0</v>
      </c>
      <c r="AA16" s="164">
        <v>0</v>
      </c>
      <c r="AB16" s="164">
        <v>0</v>
      </c>
      <c r="AC16" s="163">
        <v>0</v>
      </c>
      <c r="AE16" s="164"/>
      <c r="AF16" s="164"/>
      <c r="AG16" s="163"/>
    </row>
    <row r="17" spans="1:33" ht="17.25" customHeight="1" thickBot="1" x14ac:dyDescent="0.3">
      <c r="A17" s="322">
        <v>12</v>
      </c>
      <c r="B17" s="323" t="s">
        <v>1259</v>
      </c>
      <c r="C17" s="171">
        <v>28</v>
      </c>
      <c r="D17" s="171">
        <v>26</v>
      </c>
      <c r="E17" s="170">
        <f>'2 lentele'!K64+'2 lentele'!K65+'2 lentele'!K66+'2 lentele'!K67+'2 lentele'!K68+'2 lentele'!K69+'2 lentele'!K70+'2 lentele'!K71+'2 lentele'!K72+'2 lentele'!K73+'2 lentele'!K74+'2 lentele'!K75+'2 lentele'!K76+'2 lentele'!K77+'2 lentele'!K78+'2 lentele'!K79+'2 lentele'!K80+'2 lentele'!K81+'2 lentele'!K82+'2 lentele'!K83+'2 lentele'!K84+'2 lentele'!K85+'2 lentele'!K89+'2 lentele'!K90+'2 lentele'!K91+'2 lentele'!K352</f>
        <v>21596964.129999999</v>
      </c>
      <c r="G17" s="174">
        <v>0</v>
      </c>
      <c r="H17" s="174">
        <v>0</v>
      </c>
      <c r="I17" s="173">
        <v>0</v>
      </c>
      <c r="K17" s="167">
        <v>2</v>
      </c>
      <c r="L17" s="167">
        <v>2</v>
      </c>
      <c r="M17" s="179">
        <v>2316636</v>
      </c>
      <c r="O17" s="176"/>
      <c r="P17" s="176"/>
      <c r="Q17" s="175"/>
      <c r="S17" s="164">
        <v>1</v>
      </c>
      <c r="T17" s="164">
        <v>1</v>
      </c>
      <c r="U17" s="163">
        <v>1331365</v>
      </c>
      <c r="W17" s="164">
        <v>6</v>
      </c>
      <c r="X17" s="164">
        <v>6</v>
      </c>
      <c r="Y17" s="165">
        <v>11066000</v>
      </c>
      <c r="AA17" s="164">
        <v>4</v>
      </c>
      <c r="AB17" s="164">
        <v>2</v>
      </c>
      <c r="AC17" s="163">
        <v>553753</v>
      </c>
      <c r="AE17" s="164">
        <v>1</v>
      </c>
      <c r="AF17" s="164">
        <v>1</v>
      </c>
      <c r="AG17" s="163">
        <v>1396453.65</v>
      </c>
    </row>
    <row r="18" spans="1:33" ht="18.75" customHeight="1" thickBot="1" x14ac:dyDescent="0.3">
      <c r="A18" s="322">
        <v>13</v>
      </c>
      <c r="B18" s="323" t="s">
        <v>326</v>
      </c>
      <c r="C18" s="171">
        <v>0</v>
      </c>
      <c r="D18" s="171">
        <v>0</v>
      </c>
      <c r="E18" s="170">
        <v>0</v>
      </c>
      <c r="G18" s="174">
        <v>0</v>
      </c>
      <c r="H18" s="174">
        <v>0</v>
      </c>
      <c r="I18" s="173">
        <v>0</v>
      </c>
      <c r="K18" s="164"/>
      <c r="L18" s="164"/>
      <c r="M18" s="163"/>
      <c r="O18" s="176"/>
      <c r="P18" s="176"/>
      <c r="Q18" s="175"/>
      <c r="S18" s="164"/>
      <c r="T18" s="164"/>
      <c r="U18" s="163"/>
      <c r="W18" s="164"/>
      <c r="X18" s="164"/>
      <c r="Y18" s="165">
        <v>0</v>
      </c>
      <c r="AA18" s="164">
        <v>0</v>
      </c>
      <c r="AB18" s="164">
        <v>0</v>
      </c>
      <c r="AC18" s="163">
        <v>0</v>
      </c>
      <c r="AE18" s="164"/>
      <c r="AF18" s="164"/>
      <c r="AG18" s="163"/>
    </row>
    <row r="19" spans="1:33" ht="18.75" customHeight="1" thickBot="1" x14ac:dyDescent="0.3">
      <c r="A19" s="322">
        <v>14</v>
      </c>
      <c r="B19" s="323" t="s">
        <v>1260</v>
      </c>
      <c r="C19" s="171">
        <v>2</v>
      </c>
      <c r="D19" s="171">
        <v>2</v>
      </c>
      <c r="E19" s="170">
        <f>'2 lentele'!K39+'2 lentele'!K42</f>
        <v>6214363.5700000003</v>
      </c>
      <c r="G19" s="174">
        <v>0</v>
      </c>
      <c r="H19" s="174">
        <v>0</v>
      </c>
      <c r="I19" s="173">
        <v>0</v>
      </c>
      <c r="K19" s="164"/>
      <c r="L19" s="164"/>
      <c r="M19" s="163"/>
      <c r="O19" s="176"/>
      <c r="P19" s="176"/>
      <c r="Q19" s="175"/>
      <c r="S19" s="164">
        <v>1</v>
      </c>
      <c r="T19" s="164">
        <v>1</v>
      </c>
      <c r="U19" s="163">
        <v>1621872</v>
      </c>
      <c r="W19" s="164"/>
      <c r="X19" s="164"/>
      <c r="Y19" s="165">
        <v>0</v>
      </c>
      <c r="AA19" s="164">
        <v>1</v>
      </c>
      <c r="AB19" s="164">
        <v>1</v>
      </c>
      <c r="AC19" s="163">
        <v>4924249</v>
      </c>
      <c r="AE19" s="164"/>
      <c r="AF19" s="164"/>
      <c r="AG19" s="163"/>
    </row>
    <row r="20" spans="1:33" ht="18" customHeight="1" thickBot="1" x14ac:dyDescent="0.3">
      <c r="A20" s="322">
        <v>15</v>
      </c>
      <c r="B20" s="323" t="s">
        <v>325</v>
      </c>
      <c r="C20" s="171">
        <f>G20+K20+O20+S20+AA20+AE20+W20</f>
        <v>0</v>
      </c>
      <c r="D20" s="171">
        <f t="shared" ref="D20:E22" si="0">H20+L20+P20+T20+X20+AB20+AF20</f>
        <v>0</v>
      </c>
      <c r="E20" s="170">
        <f t="shared" si="0"/>
        <v>0</v>
      </c>
      <c r="G20" s="174">
        <v>0</v>
      </c>
      <c r="H20" s="174">
        <v>0</v>
      </c>
      <c r="I20" s="173">
        <v>0</v>
      </c>
      <c r="K20" s="164"/>
      <c r="L20" s="164"/>
      <c r="M20" s="163"/>
      <c r="O20" s="176"/>
      <c r="P20" s="176"/>
      <c r="Q20" s="175"/>
      <c r="S20" s="164"/>
      <c r="T20" s="164"/>
      <c r="U20" s="163"/>
      <c r="W20" s="164"/>
      <c r="X20" s="164"/>
      <c r="Y20" s="165">
        <v>0</v>
      </c>
      <c r="AA20" s="164">
        <v>0</v>
      </c>
      <c r="AB20" s="164">
        <v>0</v>
      </c>
      <c r="AC20" s="163">
        <v>0</v>
      </c>
      <c r="AE20" s="164"/>
      <c r="AF20" s="164"/>
      <c r="AG20" s="163"/>
    </row>
    <row r="21" spans="1:33" ht="20.25" customHeight="1" thickBot="1" x14ac:dyDescent="0.3">
      <c r="A21" s="322">
        <v>16</v>
      </c>
      <c r="B21" s="323" t="s">
        <v>324</v>
      </c>
      <c r="C21" s="171">
        <f>G21+K21+O21+S21+AA21+AE21+W21</f>
        <v>0</v>
      </c>
      <c r="D21" s="171">
        <f t="shared" si="0"/>
        <v>0</v>
      </c>
      <c r="E21" s="170">
        <f t="shared" si="0"/>
        <v>0</v>
      </c>
      <c r="G21" s="174">
        <v>0</v>
      </c>
      <c r="H21" s="174">
        <v>0</v>
      </c>
      <c r="I21" s="173">
        <v>0</v>
      </c>
      <c r="K21" s="164"/>
      <c r="L21" s="164"/>
      <c r="M21" s="163"/>
      <c r="O21" s="176"/>
      <c r="P21" s="176"/>
      <c r="Q21" s="175"/>
      <c r="S21" s="164"/>
      <c r="T21" s="164"/>
      <c r="U21" s="163"/>
      <c r="W21" s="164"/>
      <c r="X21" s="164"/>
      <c r="Y21" s="165">
        <v>0</v>
      </c>
      <c r="AA21" s="164">
        <v>0</v>
      </c>
      <c r="AB21" s="164">
        <v>0</v>
      </c>
      <c r="AC21" s="163">
        <v>0</v>
      </c>
      <c r="AE21" s="164"/>
      <c r="AF21" s="164"/>
      <c r="AG21" s="163"/>
    </row>
    <row r="22" spans="1:33" ht="25.5" customHeight="1" thickBot="1" x14ac:dyDescent="0.3">
      <c r="A22" s="322">
        <v>17</v>
      </c>
      <c r="B22" s="323" t="s">
        <v>323</v>
      </c>
      <c r="C22" s="171">
        <f>G22+K22+O22+S22+AA22+AE22+W22</f>
        <v>0</v>
      </c>
      <c r="D22" s="171">
        <f t="shared" si="0"/>
        <v>0</v>
      </c>
      <c r="E22" s="170">
        <f t="shared" si="0"/>
        <v>0</v>
      </c>
      <c r="G22" s="174">
        <v>0</v>
      </c>
      <c r="H22" s="174">
        <v>0</v>
      </c>
      <c r="I22" s="173">
        <v>0</v>
      </c>
      <c r="K22" s="164"/>
      <c r="L22" s="164"/>
      <c r="M22" s="163"/>
      <c r="O22" s="176"/>
      <c r="P22" s="176"/>
      <c r="Q22" s="175"/>
      <c r="S22" s="164"/>
      <c r="T22" s="164"/>
      <c r="U22" s="163"/>
      <c r="W22" s="164"/>
      <c r="X22" s="164"/>
      <c r="Y22" s="165">
        <v>0</v>
      </c>
      <c r="AA22" s="164">
        <v>0</v>
      </c>
      <c r="AB22" s="164">
        <v>0</v>
      </c>
      <c r="AC22" s="163">
        <v>0</v>
      </c>
      <c r="AE22" s="164"/>
      <c r="AF22" s="164"/>
      <c r="AG22" s="163"/>
    </row>
    <row r="23" spans="1:33" ht="21" customHeight="1" thickBot="1" x14ac:dyDescent="0.3">
      <c r="A23" s="322">
        <v>18</v>
      </c>
      <c r="B23" s="323" t="s">
        <v>1261</v>
      </c>
      <c r="C23" s="171">
        <v>0</v>
      </c>
      <c r="D23" s="171">
        <v>0</v>
      </c>
      <c r="E23" s="170">
        <v>0</v>
      </c>
      <c r="G23" s="174">
        <v>0</v>
      </c>
      <c r="H23" s="174">
        <v>0</v>
      </c>
      <c r="I23" s="173">
        <v>0</v>
      </c>
      <c r="K23" s="164"/>
      <c r="L23" s="164"/>
      <c r="M23" s="163"/>
      <c r="O23" s="176"/>
      <c r="P23" s="176"/>
      <c r="Q23" s="175"/>
      <c r="S23" s="164">
        <v>1</v>
      </c>
      <c r="T23" s="164">
        <v>1</v>
      </c>
      <c r="U23" s="163">
        <v>424800</v>
      </c>
      <c r="W23" s="164"/>
      <c r="X23" s="164"/>
      <c r="Y23" s="165">
        <v>0</v>
      </c>
      <c r="AA23" s="164">
        <v>0</v>
      </c>
      <c r="AB23" s="164">
        <v>0</v>
      </c>
      <c r="AC23" s="163">
        <v>0</v>
      </c>
      <c r="AE23" s="164"/>
      <c r="AF23" s="164"/>
      <c r="AG23" s="163"/>
    </row>
    <row r="24" spans="1:33" ht="46.5" customHeight="1" thickBot="1" x14ac:dyDescent="0.3">
      <c r="A24" s="322">
        <v>19</v>
      </c>
      <c r="B24" s="324" t="s">
        <v>1109</v>
      </c>
      <c r="C24" s="171">
        <v>15</v>
      </c>
      <c r="D24" s="171">
        <v>14</v>
      </c>
      <c r="E24" s="170">
        <f>'2 lentele'!K87+'2 lentele'!K88+'2 lentele'!K92+'2 lentele'!K94+'2 lentele'!K96+'2 lentele'!K97+'2 lentele'!K98+'2 lentele'!K99+'2 lentele'!K101+'2 lentele'!K102+'2 lentele'!K103+'2 lentele'!K104+'2 lentele'!K105+'2 lentele'!K106</f>
        <v>3863525.9400000004</v>
      </c>
      <c r="G24" s="169">
        <v>2</v>
      </c>
      <c r="H24" s="169">
        <v>2</v>
      </c>
      <c r="I24" s="168" t="s">
        <v>322</v>
      </c>
      <c r="K24" s="167">
        <v>1</v>
      </c>
      <c r="L24" s="167">
        <v>1</v>
      </c>
      <c r="M24" s="179">
        <v>347544</v>
      </c>
      <c r="O24" s="167">
        <v>1</v>
      </c>
      <c r="P24" s="167">
        <v>1</v>
      </c>
      <c r="Q24" s="181">
        <v>282922.82</v>
      </c>
      <c r="S24" s="164">
        <v>3</v>
      </c>
      <c r="T24" s="164">
        <v>3</v>
      </c>
      <c r="U24" s="163">
        <v>844531</v>
      </c>
      <c r="W24" s="164">
        <v>4</v>
      </c>
      <c r="X24" s="164">
        <v>4</v>
      </c>
      <c r="Y24" s="165">
        <v>1070000</v>
      </c>
      <c r="AA24" s="164">
        <v>3</v>
      </c>
      <c r="AB24" s="164">
        <v>2</v>
      </c>
      <c r="AC24" s="163">
        <v>1120189</v>
      </c>
      <c r="AE24" s="164">
        <v>3</v>
      </c>
      <c r="AF24" s="164">
        <v>3</v>
      </c>
      <c r="AG24" s="163">
        <f>45000+648251+356060</f>
        <v>1049311</v>
      </c>
    </row>
    <row r="25" spans="1:33" ht="16.5" thickBot="1" x14ac:dyDescent="0.3">
      <c r="A25" s="322">
        <v>20</v>
      </c>
      <c r="B25" s="323" t="s">
        <v>321</v>
      </c>
      <c r="C25" s="171">
        <f>G25+K25+O25+S25+AA25+AE25+W25</f>
        <v>0</v>
      </c>
      <c r="D25" s="171">
        <f>H25+L25+P25+T25+X25+AB25+AF25</f>
        <v>0</v>
      </c>
      <c r="E25" s="170">
        <f>I25+M25+Q25+U25+Y25+AC25+AG25</f>
        <v>0</v>
      </c>
      <c r="G25" s="174">
        <v>0</v>
      </c>
      <c r="H25" s="174">
        <v>0</v>
      </c>
      <c r="I25" s="173">
        <v>0</v>
      </c>
      <c r="K25" s="164"/>
      <c r="L25" s="164"/>
      <c r="M25" s="163"/>
      <c r="O25" s="176"/>
      <c r="P25" s="176"/>
      <c r="Q25" s="175"/>
      <c r="S25" s="164"/>
      <c r="T25" s="164"/>
      <c r="U25" s="163"/>
      <c r="W25" s="164"/>
      <c r="X25" s="164"/>
      <c r="Y25" s="165">
        <v>0</v>
      </c>
      <c r="AA25" s="164">
        <v>0</v>
      </c>
      <c r="AB25" s="164">
        <v>0</v>
      </c>
      <c r="AC25" s="163">
        <v>0</v>
      </c>
      <c r="AE25" s="164"/>
      <c r="AF25" s="164"/>
      <c r="AG25" s="163"/>
    </row>
    <row r="26" spans="1:33" ht="16.5" thickBot="1" x14ac:dyDescent="0.3">
      <c r="A26" s="322">
        <v>21</v>
      </c>
      <c r="B26" s="323" t="s">
        <v>320</v>
      </c>
      <c r="C26" s="171">
        <f>G26+K26+O26+S26+AA26+AE26+W26</f>
        <v>0</v>
      </c>
      <c r="D26" s="171">
        <f>H26+L26+P26+T26+X26+AB26+AF26</f>
        <v>0</v>
      </c>
      <c r="E26" s="170">
        <f>I26+M26+Q26+U26+Y26+AC26+AG26</f>
        <v>0</v>
      </c>
      <c r="G26" s="174">
        <v>0</v>
      </c>
      <c r="H26" s="174">
        <v>0</v>
      </c>
      <c r="I26" s="173">
        <v>0</v>
      </c>
      <c r="K26" s="164"/>
      <c r="L26" s="164"/>
      <c r="M26" s="163"/>
      <c r="O26" s="176"/>
      <c r="P26" s="176"/>
      <c r="Q26" s="175"/>
      <c r="S26" s="164"/>
      <c r="T26" s="164"/>
      <c r="U26" s="163"/>
      <c r="W26" s="164"/>
      <c r="X26" s="164"/>
      <c r="Y26" s="165">
        <v>0</v>
      </c>
      <c r="AA26" s="164">
        <v>0</v>
      </c>
      <c r="AB26" s="164">
        <v>0</v>
      </c>
      <c r="AC26" s="163">
        <v>0</v>
      </c>
      <c r="AE26" s="164"/>
      <c r="AF26" s="164"/>
      <c r="AG26" s="163"/>
    </row>
    <row r="27" spans="1:33" ht="16.5" thickBot="1" x14ac:dyDescent="0.3">
      <c r="A27" s="322">
        <v>22</v>
      </c>
      <c r="B27" s="324" t="s">
        <v>1262</v>
      </c>
      <c r="C27" s="171">
        <v>24</v>
      </c>
      <c r="D27" s="171">
        <v>23</v>
      </c>
      <c r="E27" s="170">
        <f>'2 lentele'!K152+'2 lentele'!K153+'2 lentele'!K154+'2 lentele'!K155+'2 lentele'!K156+'2 lentele'!K157+'2 lentele'!K172+'2 lentele'!K179+'2 lentele'!K181+'2 lentele'!K183+'2 lentele'!K184+'2 lentele'!K185+'2 lentele'!K186+'2 lentele'!K187+'2 lentele'!K188+'2 lentele'!K189+'2 lentele'!K190+'2 lentele'!K191+'2 lentele'!K192+'2 lentele'!K193+'2 lentele'!K194+'2 lentele'!K382</f>
        <v>17567037.399999999</v>
      </c>
      <c r="G27" s="174">
        <v>0</v>
      </c>
      <c r="H27" s="174">
        <v>0</v>
      </c>
      <c r="I27" s="173">
        <v>0</v>
      </c>
      <c r="K27" s="164"/>
      <c r="L27" s="164"/>
      <c r="M27" s="163"/>
      <c r="O27" s="167">
        <v>1</v>
      </c>
      <c r="P27" s="167">
        <v>1</v>
      </c>
      <c r="Q27" s="177">
        <v>211765.9</v>
      </c>
      <c r="S27" s="164"/>
      <c r="T27" s="164"/>
      <c r="U27" s="163"/>
      <c r="W27" s="164">
        <v>2</v>
      </c>
      <c r="X27" s="164">
        <v>2</v>
      </c>
      <c r="Y27" s="165">
        <v>1493940</v>
      </c>
      <c r="AA27" s="164">
        <v>8</v>
      </c>
      <c r="AB27" s="164">
        <v>8</v>
      </c>
      <c r="AC27" s="163">
        <v>3065903</v>
      </c>
      <c r="AE27" s="164">
        <v>3</v>
      </c>
      <c r="AF27" s="164">
        <v>3</v>
      </c>
      <c r="AG27" s="163">
        <f>249917.06+235294.12+200000</f>
        <v>685211.17999999993</v>
      </c>
    </row>
    <row r="28" spans="1:33" ht="16.5" thickBot="1" x14ac:dyDescent="0.3">
      <c r="A28" s="322">
        <v>23</v>
      </c>
      <c r="B28" s="324" t="s">
        <v>1263</v>
      </c>
      <c r="C28" s="171">
        <v>17</v>
      </c>
      <c r="D28" s="171">
        <v>16</v>
      </c>
      <c r="E28" s="170">
        <f>'2 lentele'!K159+'2 lentele'!K160+'2 lentele'!K161+'2 lentele'!K162+'2 lentele'!K168+'2 lentele'!K178+'2 lentele'!K180+'2 lentele'!K182+'2 lentele'!K380+'2 lentele'!K381+'2 lentele'!K163+'2 lentele'!K164+'2 lentele'!K165+'2 lentele'!K195+'2 lentele'!K196</f>
        <v>4597770.08</v>
      </c>
      <c r="G28" s="174">
        <v>0</v>
      </c>
      <c r="H28" s="174">
        <v>0</v>
      </c>
      <c r="I28" s="173">
        <v>0</v>
      </c>
      <c r="K28" s="164"/>
      <c r="L28" s="164"/>
      <c r="M28" s="163"/>
      <c r="O28" s="167">
        <v>1</v>
      </c>
      <c r="P28" s="167">
        <v>1</v>
      </c>
      <c r="Q28" s="177">
        <v>165659.64000000001</v>
      </c>
      <c r="S28" s="164">
        <v>1</v>
      </c>
      <c r="T28" s="164">
        <v>1</v>
      </c>
      <c r="U28" s="163">
        <v>361878</v>
      </c>
      <c r="W28" s="164">
        <v>2</v>
      </c>
      <c r="X28" s="164">
        <v>2</v>
      </c>
      <c r="Y28" s="165">
        <v>1165260</v>
      </c>
      <c r="AA28" s="164">
        <v>1</v>
      </c>
      <c r="AB28" s="164">
        <v>1</v>
      </c>
      <c r="AC28" s="163">
        <v>442295</v>
      </c>
      <c r="AE28" s="164">
        <v>2</v>
      </c>
      <c r="AF28" s="164">
        <v>2</v>
      </c>
      <c r="AG28" s="163">
        <f>235294.12+144275.55</f>
        <v>379569.67</v>
      </c>
    </row>
    <row r="29" spans="1:33" ht="16.5" thickBot="1" x14ac:dyDescent="0.3">
      <c r="A29" s="322">
        <v>24</v>
      </c>
      <c r="B29" s="324" t="s">
        <v>1264</v>
      </c>
      <c r="C29" s="171">
        <v>9</v>
      </c>
      <c r="D29" s="171">
        <v>9</v>
      </c>
      <c r="E29" s="170">
        <f>'2 lentele'!K211+'2 lentele'!K212+'2 lentele'!K213+'2 lentele'!K214+'2 lentele'!K215+'2 lentele'!K216+'2 lentele'!K217+'2 lentele'!K218</f>
        <v>3400593.9600000004</v>
      </c>
      <c r="G29" s="174">
        <v>0</v>
      </c>
      <c r="H29" s="174">
        <v>0</v>
      </c>
      <c r="I29" s="173">
        <v>0</v>
      </c>
      <c r="K29" s="164"/>
      <c r="L29" s="164"/>
      <c r="M29" s="163"/>
      <c r="O29" s="167">
        <v>1</v>
      </c>
      <c r="P29" s="167">
        <v>1</v>
      </c>
      <c r="Q29" s="177">
        <v>109960.07</v>
      </c>
      <c r="S29" s="164"/>
      <c r="T29" s="164"/>
      <c r="U29" s="163"/>
      <c r="W29" s="164">
        <v>3</v>
      </c>
      <c r="X29" s="164">
        <v>3</v>
      </c>
      <c r="Y29" s="165">
        <v>2061451</v>
      </c>
      <c r="AA29" s="164">
        <v>1</v>
      </c>
      <c r="AB29" s="164">
        <v>1</v>
      </c>
      <c r="AC29" s="163">
        <v>990874.5</v>
      </c>
      <c r="AE29" s="164"/>
      <c r="AF29" s="164"/>
      <c r="AG29" s="163"/>
    </row>
    <row r="30" spans="1:33" ht="16.5" thickBot="1" x14ac:dyDescent="0.3">
      <c r="A30" s="322">
        <v>25</v>
      </c>
      <c r="B30" s="324" t="s">
        <v>1265</v>
      </c>
      <c r="C30" s="171">
        <v>2</v>
      </c>
      <c r="D30" s="171">
        <f>H30+L30+P30+T30+X30+AB30+AF30</f>
        <v>1</v>
      </c>
      <c r="E30" s="170">
        <f>'2 lentele'!K243</f>
        <v>550568</v>
      </c>
      <c r="G30" s="174">
        <v>0</v>
      </c>
      <c r="H30" s="174">
        <v>0</v>
      </c>
      <c r="I30" s="173">
        <v>0</v>
      </c>
      <c r="K30" s="164"/>
      <c r="L30" s="164"/>
      <c r="M30" s="163"/>
      <c r="O30" s="176"/>
      <c r="P30" s="176"/>
      <c r="Q30" s="175"/>
      <c r="S30" s="164"/>
      <c r="T30" s="164"/>
      <c r="U30" s="163"/>
      <c r="W30" s="164"/>
      <c r="X30" s="164"/>
      <c r="Y30" s="165">
        <v>0</v>
      </c>
      <c r="AA30" s="164">
        <v>0</v>
      </c>
      <c r="AB30" s="164">
        <v>0</v>
      </c>
      <c r="AC30" s="163">
        <v>0</v>
      </c>
      <c r="AE30" s="164">
        <v>1</v>
      </c>
      <c r="AF30" s="164">
        <v>1</v>
      </c>
      <c r="AG30" s="163">
        <v>1639070.59</v>
      </c>
    </row>
    <row r="31" spans="1:33" ht="16.5" thickBot="1" x14ac:dyDescent="0.3">
      <c r="A31" s="322">
        <v>26</v>
      </c>
      <c r="B31" s="324" t="s">
        <v>1266</v>
      </c>
      <c r="C31" s="171">
        <v>6</v>
      </c>
      <c r="D31" s="171">
        <v>6</v>
      </c>
      <c r="E31" s="170">
        <f>'2 lentele'!K246+'2 lentele'!K247+'2 lentele'!K248+'2 lentele'!K249+'2 lentele'!K251+'2 lentele'!K252</f>
        <v>10348391.470000001</v>
      </c>
      <c r="G31" s="169">
        <v>1</v>
      </c>
      <c r="H31" s="169">
        <v>1</v>
      </c>
      <c r="I31" s="168" t="s">
        <v>319</v>
      </c>
      <c r="K31" s="164"/>
      <c r="L31" s="164"/>
      <c r="M31" s="163"/>
      <c r="O31" s="167">
        <v>1</v>
      </c>
      <c r="P31" s="167">
        <v>1</v>
      </c>
      <c r="Q31" s="180">
        <v>117334.12</v>
      </c>
      <c r="S31" s="164"/>
      <c r="T31" s="164"/>
      <c r="U31" s="163"/>
      <c r="W31" s="164">
        <v>1</v>
      </c>
      <c r="X31" s="164">
        <v>1</v>
      </c>
      <c r="Y31" s="165">
        <v>6716939</v>
      </c>
      <c r="AA31" s="164">
        <v>1</v>
      </c>
      <c r="AB31" s="164">
        <v>1</v>
      </c>
      <c r="AC31" s="163">
        <v>525296</v>
      </c>
      <c r="AE31" s="164"/>
      <c r="AF31" s="164"/>
      <c r="AG31" s="163"/>
    </row>
    <row r="32" spans="1:33" ht="16.5" thickBot="1" x14ac:dyDescent="0.3">
      <c r="A32" s="322">
        <v>27</v>
      </c>
      <c r="B32" s="324" t="s">
        <v>1119</v>
      </c>
      <c r="C32" s="171">
        <v>9</v>
      </c>
      <c r="D32" s="171">
        <v>9</v>
      </c>
      <c r="E32" s="170">
        <f>'2 lentele'!K228+'2 lentele'!K230+'2 lentele'!K231+'2 lentele'!K232+'2 lentele'!K233+'2 lentele'!K234+'2 lentele'!K237+'2 lentele'!K239+'2 lentele'!K240</f>
        <v>4808613.58</v>
      </c>
      <c r="G32" s="169">
        <v>0</v>
      </c>
      <c r="H32" s="169">
        <v>0</v>
      </c>
      <c r="I32" s="168">
        <v>0</v>
      </c>
      <c r="K32" s="164"/>
      <c r="L32" s="164"/>
      <c r="M32" s="163"/>
      <c r="O32" s="167">
        <v>1</v>
      </c>
      <c r="P32" s="167">
        <v>1</v>
      </c>
      <c r="Q32" s="177">
        <v>167879.36</v>
      </c>
      <c r="S32" s="164"/>
      <c r="T32" s="164"/>
      <c r="U32" s="163"/>
      <c r="W32" s="164">
        <v>1</v>
      </c>
      <c r="X32" s="164">
        <v>1</v>
      </c>
      <c r="Y32" s="165">
        <v>1288841</v>
      </c>
      <c r="AA32" s="164">
        <v>2</v>
      </c>
      <c r="AB32" s="164">
        <v>2</v>
      </c>
      <c r="AC32" s="163">
        <v>552500</v>
      </c>
      <c r="AE32" s="164">
        <v>1</v>
      </c>
      <c r="AF32" s="164">
        <v>1</v>
      </c>
      <c r="AG32" s="163">
        <v>31718.37</v>
      </c>
    </row>
    <row r="33" spans="1:33" ht="32.25" thickBot="1" x14ac:dyDescent="0.3">
      <c r="A33" s="322">
        <v>28</v>
      </c>
      <c r="B33" s="324" t="s">
        <v>1120</v>
      </c>
      <c r="C33" s="171">
        <f>G33+K33+O33+S33+AA33+AE33+W33</f>
        <v>10</v>
      </c>
      <c r="D33" s="171">
        <f>H33+L33+P33+T33+X33+AB33+AF33</f>
        <v>10</v>
      </c>
      <c r="E33" s="170">
        <f>'2 lentele'!K41+'2 lentele'!K43+'2 lentele'!K45+'2 lentele'!K47+'2 lentele'!K51+'2 lentele'!K53+'2 lentele'!K119+'2 lentele'!K120+'2 lentele'!K121+'2 lentele'!K130</f>
        <v>15224799.129999999</v>
      </c>
      <c r="G33" s="169">
        <v>1</v>
      </c>
      <c r="H33" s="169">
        <v>1</v>
      </c>
      <c r="I33" s="168" t="s">
        <v>318</v>
      </c>
      <c r="K33" s="167">
        <v>2</v>
      </c>
      <c r="L33" s="167">
        <v>2</v>
      </c>
      <c r="M33" s="179">
        <v>4002104</v>
      </c>
      <c r="O33" s="176"/>
      <c r="P33" s="176"/>
      <c r="Q33" s="175"/>
      <c r="S33" s="164">
        <v>2</v>
      </c>
      <c r="T33" s="164">
        <v>2</v>
      </c>
      <c r="U33" s="163">
        <v>1504715</v>
      </c>
      <c r="W33" s="164">
        <v>4</v>
      </c>
      <c r="X33" s="164">
        <v>4</v>
      </c>
      <c r="Y33" s="165">
        <v>5469140</v>
      </c>
      <c r="AA33" s="164">
        <v>1</v>
      </c>
      <c r="AB33" s="164">
        <v>1</v>
      </c>
      <c r="AC33" s="163">
        <v>579240</v>
      </c>
      <c r="AE33" s="164"/>
      <c r="AF33" s="164"/>
      <c r="AG33" s="163"/>
    </row>
    <row r="34" spans="1:33" ht="26.25" thickBot="1" x14ac:dyDescent="0.3">
      <c r="A34" s="322">
        <v>29</v>
      </c>
      <c r="B34" s="324" t="s">
        <v>1121</v>
      </c>
      <c r="C34" s="171">
        <v>42</v>
      </c>
      <c r="D34" s="171">
        <v>38</v>
      </c>
      <c r="E34" s="170">
        <f>'2 lentele'!K26+'2 lentele'!K44+'2 lentele'!K46+'2 lentele'!K49+'2 lentele'!K50+'2 lentele'!K54+'2 lentele'!K55+'2 lentele'!K56+'2 lentele'!K305+'2 lentele'!K307+'2 lentele'!K311+'2 lentele'!K312+'2 lentele'!K327+'2 lentele'!K329+'2 lentele'!K335+'2 lentele'!K336+'2 lentele'!K338+'2 lentele'!K339+'2 lentele'!K340+'2 lentele'!K341+'2 lentele'!K342+'2 lentele'!K343+'2 lentele'!K344+'2 lentele'!K345+'2 lentele'!K350+'2 lentele'!K354+'2 lentele'!K355+'2 lentele'!K356+'2 lentele'!K357+'2 lentele'!K358+'2 lentele'!K359+'2 lentele'!K360+'2 lentele'!K361+'2 lentele'!K362+'2 lentele'!K363+'2 lentele'!K364+'2 lentele'!K468</f>
        <v>16769056.000000002</v>
      </c>
      <c r="G34" s="169">
        <v>0</v>
      </c>
      <c r="H34" s="169">
        <v>0</v>
      </c>
      <c r="I34" s="168">
        <v>0</v>
      </c>
      <c r="K34" s="167">
        <v>6</v>
      </c>
      <c r="L34" s="167">
        <v>5</v>
      </c>
      <c r="M34" s="179">
        <v>6239839</v>
      </c>
      <c r="O34" s="176"/>
      <c r="P34" s="176"/>
      <c r="Q34" s="175"/>
      <c r="S34" s="164">
        <v>1</v>
      </c>
      <c r="T34" s="164"/>
      <c r="U34" s="163"/>
      <c r="W34" s="164"/>
      <c r="X34" s="164"/>
      <c r="Y34" s="165">
        <v>0</v>
      </c>
      <c r="AA34" s="164">
        <v>7</v>
      </c>
      <c r="AB34" s="164">
        <v>6</v>
      </c>
      <c r="AC34" s="163">
        <v>2787000</v>
      </c>
      <c r="AE34" s="164">
        <v>2</v>
      </c>
      <c r="AF34" s="164">
        <v>2</v>
      </c>
      <c r="AG34" s="163">
        <f>801160.35+271558.64</f>
        <v>1072718.99</v>
      </c>
    </row>
    <row r="35" spans="1:33" ht="26.25" thickBot="1" x14ac:dyDescent="0.3">
      <c r="A35" s="322">
        <v>30</v>
      </c>
      <c r="B35" s="324" t="s">
        <v>1122</v>
      </c>
      <c r="C35" s="171">
        <v>7</v>
      </c>
      <c r="D35" s="171">
        <v>7</v>
      </c>
      <c r="E35" s="170">
        <f>'2 lentele'!K38+'2 lentele'!K40+'2 lentele'!K48+'2 lentele'!K52+'2 lentele'!K309+'2 lentele'!K310+'2 lentele'!K57</f>
        <v>8853349.75</v>
      </c>
      <c r="G35" s="169">
        <v>1</v>
      </c>
      <c r="H35" s="169">
        <v>1</v>
      </c>
      <c r="I35" s="168" t="s">
        <v>317</v>
      </c>
      <c r="K35" s="167">
        <v>1</v>
      </c>
      <c r="L35" s="167">
        <v>1</v>
      </c>
      <c r="M35" s="179">
        <v>1338400</v>
      </c>
      <c r="O35" s="176"/>
      <c r="P35" s="176"/>
      <c r="Q35" s="175"/>
      <c r="S35" s="164"/>
      <c r="T35" s="164"/>
      <c r="U35" s="163"/>
      <c r="W35" s="164"/>
      <c r="X35" s="164"/>
      <c r="Y35" s="165">
        <v>0</v>
      </c>
      <c r="AA35" s="164">
        <v>1</v>
      </c>
      <c r="AB35" s="164">
        <v>1</v>
      </c>
      <c r="AC35" s="163">
        <v>650936</v>
      </c>
      <c r="AE35" s="164">
        <v>1</v>
      </c>
      <c r="AF35" s="164">
        <v>1</v>
      </c>
      <c r="AG35" s="163">
        <v>711630</v>
      </c>
    </row>
    <row r="36" spans="1:33" ht="39" thickBot="1" x14ac:dyDescent="0.3">
      <c r="A36" s="322">
        <v>31</v>
      </c>
      <c r="B36" s="324" t="s">
        <v>1123</v>
      </c>
      <c r="C36" s="171">
        <f>G36+K36+O36+S36+AA36+AE36+W36</f>
        <v>2</v>
      </c>
      <c r="D36" s="171">
        <f>H36+L36+P36+T36+X36+AB36+AF36</f>
        <v>2</v>
      </c>
      <c r="E36" s="170">
        <f>'2 lentele'!K15+'2 lentele'!K16</f>
        <v>8500000</v>
      </c>
      <c r="G36" s="169">
        <v>0</v>
      </c>
      <c r="H36" s="169">
        <v>0</v>
      </c>
      <c r="I36" s="168">
        <v>0</v>
      </c>
      <c r="K36" s="164"/>
      <c r="L36" s="164"/>
      <c r="M36" s="163"/>
      <c r="O36" s="176"/>
      <c r="P36" s="176"/>
      <c r="Q36" s="175"/>
      <c r="S36" s="164"/>
      <c r="T36" s="164"/>
      <c r="U36" s="163"/>
      <c r="W36" s="164">
        <v>2</v>
      </c>
      <c r="X36" s="164">
        <v>2</v>
      </c>
      <c r="Y36" s="165">
        <v>8500000</v>
      </c>
      <c r="AA36" s="164">
        <v>0</v>
      </c>
      <c r="AB36" s="164">
        <v>0</v>
      </c>
      <c r="AC36" s="163">
        <v>0</v>
      </c>
      <c r="AE36" s="164"/>
      <c r="AF36" s="164"/>
      <c r="AG36" s="163"/>
    </row>
    <row r="37" spans="1:33" ht="26.25" thickBot="1" x14ac:dyDescent="0.3">
      <c r="A37" s="322">
        <v>32</v>
      </c>
      <c r="B37" s="324" t="s">
        <v>1124</v>
      </c>
      <c r="C37" s="171">
        <v>15</v>
      </c>
      <c r="D37" s="171">
        <v>15</v>
      </c>
      <c r="E37" s="170">
        <f>'2 lentele'!K17+'2 lentele'!K31+'2 lentele'!K129+'2 lentele'!K131+'2 lentele'!K132+'2 lentele'!K271+'2 lentele'!K272+'2 lentele'!K273+'2 lentele'!K274+'2 lentele'!K275+'2 lentele'!K276+'2 lentele'!K277+'2 lentele'!K366+'2 lentele'!K378+'2 lentele'!K385</f>
        <v>26216582.735996291</v>
      </c>
      <c r="G37" s="169">
        <v>1</v>
      </c>
      <c r="H37" s="169">
        <v>1</v>
      </c>
      <c r="I37" s="168" t="s">
        <v>316</v>
      </c>
      <c r="K37" s="164"/>
      <c r="L37" s="164"/>
      <c r="M37" s="163"/>
      <c r="O37" s="176"/>
      <c r="P37" s="176"/>
      <c r="Q37" s="175"/>
      <c r="S37" s="164"/>
      <c r="T37" s="164"/>
      <c r="U37" s="163"/>
      <c r="W37" s="164">
        <v>4</v>
      </c>
      <c r="X37" s="164">
        <v>4</v>
      </c>
      <c r="Y37" s="165">
        <v>20000000</v>
      </c>
      <c r="AA37" s="164">
        <v>3</v>
      </c>
      <c r="AB37" s="164">
        <v>3</v>
      </c>
      <c r="AC37" s="163">
        <v>1001677</v>
      </c>
      <c r="AE37" s="164">
        <v>1</v>
      </c>
      <c r="AF37" s="164">
        <v>1</v>
      </c>
      <c r="AG37" s="163">
        <v>514637.74</v>
      </c>
    </row>
    <row r="38" spans="1:33" ht="32.25" thickBot="1" x14ac:dyDescent="0.3">
      <c r="A38" s="322">
        <v>33</v>
      </c>
      <c r="B38" s="324" t="s">
        <v>1125</v>
      </c>
      <c r="C38" s="171">
        <v>19</v>
      </c>
      <c r="D38" s="171">
        <v>18</v>
      </c>
      <c r="E38" s="170">
        <f>'2 lentele'!K27+'2 lentele'!K29+'2 lentele'!K30+'2 lentele'!K33+'2 lentele'!K34+'2 lentele'!K117+'2 lentele'!K118+'2 lentele'!K295+'2 lentele'!K296+'2 lentele'!K297+'2 lentele'!K298+'2 lentele'!K347+'2 lentele'!K365+'2 lentele'!K367+'2 lentele'!K368+'2 lentele'!K32+'2 lentele'!K325+'2 lentele'!K346</f>
        <v>23397151.73</v>
      </c>
      <c r="G38" s="169">
        <v>3</v>
      </c>
      <c r="H38" s="169">
        <v>3</v>
      </c>
      <c r="I38" s="168" t="s">
        <v>315</v>
      </c>
      <c r="K38" s="167">
        <v>2</v>
      </c>
      <c r="L38" s="167">
        <v>1</v>
      </c>
      <c r="M38" s="179">
        <v>345106.69</v>
      </c>
      <c r="O38" s="176"/>
      <c r="P38" s="176"/>
      <c r="Q38" s="175"/>
      <c r="S38" s="164">
        <v>1</v>
      </c>
      <c r="T38" s="164">
        <v>1</v>
      </c>
      <c r="U38" s="163">
        <v>252517</v>
      </c>
      <c r="W38" s="164">
        <v>9</v>
      </c>
      <c r="X38" s="164">
        <v>9</v>
      </c>
      <c r="Y38" s="165">
        <v>2819912</v>
      </c>
      <c r="AA38" s="164">
        <v>0</v>
      </c>
      <c r="AB38" s="164">
        <v>0</v>
      </c>
      <c r="AC38" s="163">
        <v>0</v>
      </c>
      <c r="AE38" s="164">
        <v>2</v>
      </c>
      <c r="AF38" s="164">
        <v>2</v>
      </c>
      <c r="AG38" s="163">
        <f>264863+176470.59</f>
        <v>441333.58999999997</v>
      </c>
    </row>
    <row r="39" spans="1:33" ht="26.25" thickBot="1" x14ac:dyDescent="0.3">
      <c r="A39" s="322">
        <v>34</v>
      </c>
      <c r="B39" s="324" t="s">
        <v>1126</v>
      </c>
      <c r="C39" s="171">
        <v>6</v>
      </c>
      <c r="D39" s="171">
        <v>6</v>
      </c>
      <c r="E39" s="170">
        <f>'2 lentele'!K28+'2 lentele'!K306+'2 lentele'!K317+'2 lentele'!K331+'2 lentele'!K334+'2 lentele'!K351</f>
        <v>5642221.8100000005</v>
      </c>
      <c r="G39" s="169">
        <v>1</v>
      </c>
      <c r="H39" s="169">
        <v>1</v>
      </c>
      <c r="I39" s="168" t="s">
        <v>314</v>
      </c>
      <c r="K39" s="167">
        <v>1</v>
      </c>
      <c r="L39" s="167">
        <v>1</v>
      </c>
      <c r="M39" s="179">
        <v>854350</v>
      </c>
      <c r="O39" s="176"/>
      <c r="P39" s="176"/>
      <c r="Q39" s="175"/>
      <c r="S39" s="164">
        <v>1</v>
      </c>
      <c r="T39" s="164">
        <v>1</v>
      </c>
      <c r="U39" s="163">
        <v>868860</v>
      </c>
      <c r="W39" s="164">
        <v>2</v>
      </c>
      <c r="X39" s="164">
        <v>2</v>
      </c>
      <c r="Y39" s="165">
        <v>3000000</v>
      </c>
      <c r="AA39" s="164">
        <v>3</v>
      </c>
      <c r="AB39" s="164">
        <v>3</v>
      </c>
      <c r="AC39" s="163">
        <v>2304853</v>
      </c>
      <c r="AE39" s="164"/>
      <c r="AF39" s="164"/>
      <c r="AG39" s="163"/>
    </row>
    <row r="40" spans="1:33" ht="16.5" thickBot="1" x14ac:dyDescent="0.3">
      <c r="A40" s="322">
        <v>35</v>
      </c>
      <c r="B40" s="324" t="s">
        <v>313</v>
      </c>
      <c r="C40" s="171">
        <v>0</v>
      </c>
      <c r="D40" s="171">
        <v>0</v>
      </c>
      <c r="E40" s="170">
        <v>0</v>
      </c>
      <c r="G40" s="174">
        <v>0</v>
      </c>
      <c r="H40" s="174">
        <v>0</v>
      </c>
      <c r="I40" s="173">
        <v>0</v>
      </c>
      <c r="K40" s="164"/>
      <c r="L40" s="164"/>
      <c r="M40" s="163"/>
      <c r="O40" s="176"/>
      <c r="P40" s="176"/>
      <c r="Q40" s="175"/>
      <c r="S40" s="164"/>
      <c r="T40" s="164"/>
      <c r="U40" s="163"/>
      <c r="W40" s="164"/>
      <c r="X40" s="164"/>
      <c r="Y40" s="165">
        <v>0</v>
      </c>
      <c r="AA40" s="164">
        <v>0</v>
      </c>
      <c r="AB40" s="164">
        <v>0</v>
      </c>
      <c r="AC40" s="163">
        <v>0</v>
      </c>
      <c r="AE40" s="164"/>
      <c r="AF40" s="164"/>
      <c r="AG40" s="163"/>
    </row>
    <row r="41" spans="1:33" ht="26.25" thickBot="1" x14ac:dyDescent="0.3">
      <c r="A41" s="322">
        <v>36</v>
      </c>
      <c r="B41" s="324" t="s">
        <v>1127</v>
      </c>
      <c r="C41" s="171">
        <v>2</v>
      </c>
      <c r="D41" s="171">
        <f t="shared" ref="D41:D53" si="1">H41+L41+P41+T41+X41+AB41+AF41</f>
        <v>1</v>
      </c>
      <c r="E41" s="170">
        <f>'2 lentele'!K25</f>
        <v>260658</v>
      </c>
      <c r="G41" s="174">
        <v>0</v>
      </c>
      <c r="H41" s="174">
        <v>0</v>
      </c>
      <c r="I41" s="173">
        <v>0</v>
      </c>
      <c r="K41" s="164"/>
      <c r="L41" s="164"/>
      <c r="M41" s="163"/>
      <c r="O41" s="176"/>
      <c r="P41" s="176"/>
      <c r="Q41" s="175"/>
      <c r="S41" s="164">
        <v>1</v>
      </c>
      <c r="T41" s="164">
        <v>1</v>
      </c>
      <c r="U41" s="163">
        <v>260658</v>
      </c>
      <c r="W41" s="164"/>
      <c r="X41" s="164"/>
      <c r="Y41" s="165">
        <v>0</v>
      </c>
      <c r="AA41" s="164">
        <v>0</v>
      </c>
      <c r="AB41" s="164">
        <v>0</v>
      </c>
      <c r="AC41" s="163">
        <v>0</v>
      </c>
      <c r="AE41" s="164"/>
      <c r="AF41" s="164"/>
      <c r="AG41" s="163"/>
    </row>
    <row r="42" spans="1:33" ht="26.25" thickBot="1" x14ac:dyDescent="0.3">
      <c r="A42" s="322">
        <v>37</v>
      </c>
      <c r="B42" s="324" t="s">
        <v>1128</v>
      </c>
      <c r="C42" s="171">
        <f t="shared" ref="C42:C53" si="2">G42+K42+O42+S42+AA42+AE42+W42</f>
        <v>1</v>
      </c>
      <c r="D42" s="171">
        <f t="shared" si="1"/>
        <v>1</v>
      </c>
      <c r="E42" s="170">
        <f>'2 lentele'!K405</f>
        <v>2062955.63</v>
      </c>
      <c r="G42" s="174">
        <v>0</v>
      </c>
      <c r="H42" s="174">
        <v>0</v>
      </c>
      <c r="I42" s="173">
        <v>0</v>
      </c>
      <c r="K42" s="164"/>
      <c r="L42" s="164"/>
      <c r="M42" s="163"/>
      <c r="O42" s="176"/>
      <c r="P42" s="176"/>
      <c r="Q42" s="175"/>
      <c r="S42" s="164"/>
      <c r="T42" s="164"/>
      <c r="U42" s="163"/>
      <c r="W42" s="164">
        <v>1</v>
      </c>
      <c r="X42" s="164">
        <v>1</v>
      </c>
      <c r="Y42" s="165">
        <v>1448100</v>
      </c>
      <c r="AA42" s="164">
        <v>0</v>
      </c>
      <c r="AB42" s="164">
        <v>0</v>
      </c>
      <c r="AC42" s="163">
        <v>0</v>
      </c>
      <c r="AE42" s="164"/>
      <c r="AF42" s="164"/>
      <c r="AG42" s="163"/>
    </row>
    <row r="43" spans="1:33" ht="26.25" thickBot="1" x14ac:dyDescent="0.3">
      <c r="A43" s="322">
        <v>38</v>
      </c>
      <c r="B43" s="324" t="s">
        <v>1129</v>
      </c>
      <c r="C43" s="171">
        <v>7</v>
      </c>
      <c r="D43" s="171">
        <v>6</v>
      </c>
      <c r="E43" s="170">
        <f>'2 lentele'!K456+'2 lentele'!K460+'2 lentele'!K461+'2 lentele'!K465+'2 lentele'!K466+'2 lentele'!K469</f>
        <v>1627711.29</v>
      </c>
      <c r="G43" s="174">
        <v>0</v>
      </c>
      <c r="H43" s="174">
        <v>0</v>
      </c>
      <c r="I43" s="173">
        <v>0</v>
      </c>
      <c r="K43" s="164"/>
      <c r="L43" s="164"/>
      <c r="M43" s="163"/>
      <c r="O43" s="167">
        <v>1</v>
      </c>
      <c r="P43" s="167">
        <v>1</v>
      </c>
      <c r="Q43" s="166">
        <v>100000</v>
      </c>
      <c r="S43" s="164"/>
      <c r="T43" s="164"/>
      <c r="U43" s="163"/>
      <c r="W43" s="164"/>
      <c r="X43" s="164"/>
      <c r="Y43" s="165">
        <v>0</v>
      </c>
      <c r="AA43" s="164">
        <v>1</v>
      </c>
      <c r="AB43" s="164">
        <v>1</v>
      </c>
      <c r="AC43" s="163">
        <v>357573</v>
      </c>
      <c r="AE43" s="164"/>
      <c r="AF43" s="164"/>
      <c r="AG43" s="163"/>
    </row>
    <row r="44" spans="1:33" ht="16.5" thickBot="1" x14ac:dyDescent="0.3">
      <c r="A44" s="322">
        <v>39</v>
      </c>
      <c r="B44" s="324" t="s">
        <v>312</v>
      </c>
      <c r="C44" s="171">
        <f t="shared" si="2"/>
        <v>0</v>
      </c>
      <c r="D44" s="171">
        <f t="shared" si="1"/>
        <v>0</v>
      </c>
      <c r="E44" s="170">
        <f>I44+M44+Q44+U44+Y44+AC44+AG44</f>
        <v>0</v>
      </c>
      <c r="G44" s="174">
        <v>0</v>
      </c>
      <c r="H44" s="174">
        <v>0</v>
      </c>
      <c r="I44" s="173">
        <v>0</v>
      </c>
      <c r="K44" s="164"/>
      <c r="L44" s="164"/>
      <c r="M44" s="163"/>
      <c r="O44" s="176"/>
      <c r="P44" s="176"/>
      <c r="Q44" s="175"/>
      <c r="S44" s="164"/>
      <c r="T44" s="164"/>
      <c r="U44" s="163"/>
      <c r="W44" s="164"/>
      <c r="X44" s="164"/>
      <c r="Y44" s="165">
        <v>0</v>
      </c>
      <c r="AA44" s="164">
        <v>0</v>
      </c>
      <c r="AB44" s="164">
        <v>0</v>
      </c>
      <c r="AC44" s="163">
        <v>0</v>
      </c>
      <c r="AE44" s="164"/>
      <c r="AF44" s="164"/>
      <c r="AG44" s="163"/>
    </row>
    <row r="45" spans="1:33" ht="16.5" thickBot="1" x14ac:dyDescent="0.3">
      <c r="A45" s="322">
        <v>40</v>
      </c>
      <c r="B45" s="324" t="s">
        <v>1130</v>
      </c>
      <c r="C45" s="171">
        <v>3</v>
      </c>
      <c r="D45" s="171">
        <v>3</v>
      </c>
      <c r="E45" s="170">
        <f>'2 lentele'!K457+'2 lentele'!K458+'2 lentele'!K459</f>
        <v>1243093.8799999999</v>
      </c>
      <c r="G45" s="174">
        <v>0</v>
      </c>
      <c r="H45" s="174">
        <v>0</v>
      </c>
      <c r="I45" s="173">
        <v>0</v>
      </c>
      <c r="K45" s="164"/>
      <c r="L45" s="164"/>
      <c r="M45" s="163"/>
      <c r="O45" s="176"/>
      <c r="P45" s="176"/>
      <c r="Q45" s="175"/>
      <c r="S45" s="164"/>
      <c r="T45" s="164"/>
      <c r="U45" s="163"/>
      <c r="W45" s="164"/>
      <c r="X45" s="164"/>
      <c r="Y45" s="165">
        <v>0</v>
      </c>
      <c r="AA45" s="164">
        <v>1</v>
      </c>
      <c r="AB45" s="164">
        <v>1</v>
      </c>
      <c r="AC45" s="163">
        <v>1175163</v>
      </c>
      <c r="AE45" s="164"/>
      <c r="AF45" s="164"/>
      <c r="AG45" s="163"/>
    </row>
    <row r="46" spans="1:33" ht="16.5" thickBot="1" x14ac:dyDescent="0.3">
      <c r="A46" s="322">
        <v>41</v>
      </c>
      <c r="B46" s="324" t="s">
        <v>262</v>
      </c>
      <c r="C46" s="171">
        <f t="shared" si="2"/>
        <v>1</v>
      </c>
      <c r="D46" s="171">
        <f t="shared" si="1"/>
        <v>1</v>
      </c>
      <c r="E46" s="170">
        <f>'2 lentele'!K379</f>
        <v>250000</v>
      </c>
      <c r="G46" s="174">
        <v>0</v>
      </c>
      <c r="H46" s="174">
        <v>0</v>
      </c>
      <c r="I46" s="173">
        <v>0</v>
      </c>
      <c r="K46" s="164"/>
      <c r="L46" s="164"/>
      <c r="M46" s="163"/>
      <c r="O46" s="167">
        <v>1</v>
      </c>
      <c r="P46" s="167">
        <v>1</v>
      </c>
      <c r="Q46" s="178">
        <v>83999.53</v>
      </c>
      <c r="S46" s="164"/>
      <c r="T46" s="164"/>
      <c r="U46" s="163"/>
      <c r="W46" s="164"/>
      <c r="X46" s="164"/>
      <c r="Y46" s="165">
        <v>0</v>
      </c>
      <c r="AA46" s="164">
        <v>0</v>
      </c>
      <c r="AB46" s="164">
        <v>0</v>
      </c>
      <c r="AC46" s="163">
        <v>0</v>
      </c>
      <c r="AE46" s="164"/>
      <c r="AF46" s="164"/>
      <c r="AG46" s="163"/>
    </row>
    <row r="47" spans="1:33" ht="16.5" thickBot="1" x14ac:dyDescent="0.3">
      <c r="A47" s="322">
        <v>42</v>
      </c>
      <c r="B47" s="324" t="s">
        <v>1131</v>
      </c>
      <c r="C47" s="171">
        <v>3</v>
      </c>
      <c r="D47" s="171">
        <v>3</v>
      </c>
      <c r="E47" s="170">
        <f>'2 lentele'!K136+'2 lentele'!K137+'2 lentele'!K138</f>
        <v>968850.54</v>
      </c>
      <c r="G47" s="174">
        <v>0</v>
      </c>
      <c r="H47" s="174">
        <v>0</v>
      </c>
      <c r="I47" s="173">
        <v>0</v>
      </c>
      <c r="K47" s="164"/>
      <c r="L47" s="164"/>
      <c r="M47" s="163"/>
      <c r="O47" s="167">
        <v>1</v>
      </c>
      <c r="P47" s="167">
        <v>1</v>
      </c>
      <c r="Q47" s="177">
        <v>40034.43</v>
      </c>
      <c r="S47" s="164"/>
      <c r="T47" s="164"/>
      <c r="U47" s="163"/>
      <c r="W47" s="164"/>
      <c r="X47" s="164"/>
      <c r="Y47" s="165">
        <v>0</v>
      </c>
      <c r="AA47" s="164">
        <v>1</v>
      </c>
      <c r="AB47" s="164">
        <v>1</v>
      </c>
      <c r="AC47" s="163">
        <v>106887</v>
      </c>
      <c r="AE47" s="164"/>
      <c r="AF47" s="164"/>
      <c r="AG47" s="163"/>
    </row>
    <row r="48" spans="1:33" ht="16.5" thickBot="1" x14ac:dyDescent="0.3">
      <c r="A48" s="322">
        <v>43</v>
      </c>
      <c r="B48" s="323" t="s">
        <v>311</v>
      </c>
      <c r="C48" s="171">
        <f t="shared" si="2"/>
        <v>0</v>
      </c>
      <c r="D48" s="171">
        <f t="shared" si="1"/>
        <v>0</v>
      </c>
      <c r="E48" s="170">
        <f>I48+M48+Q48+U48+Y48+AC48+AG48</f>
        <v>0</v>
      </c>
      <c r="G48" s="174">
        <v>0</v>
      </c>
      <c r="H48" s="174">
        <v>0</v>
      </c>
      <c r="I48" s="173">
        <v>0</v>
      </c>
      <c r="K48" s="164"/>
      <c r="L48" s="164"/>
      <c r="M48" s="163"/>
      <c r="O48" s="176"/>
      <c r="P48" s="176"/>
      <c r="Q48" s="175"/>
      <c r="S48" s="164"/>
      <c r="T48" s="164"/>
      <c r="U48" s="163"/>
      <c r="W48" s="164"/>
      <c r="X48" s="164"/>
      <c r="Y48" s="165">
        <v>0</v>
      </c>
      <c r="AA48" s="164">
        <v>0</v>
      </c>
      <c r="AB48" s="164">
        <v>0</v>
      </c>
      <c r="AC48" s="163">
        <v>0</v>
      </c>
      <c r="AE48" s="164"/>
      <c r="AF48" s="164"/>
      <c r="AG48" s="163"/>
    </row>
    <row r="49" spans="1:33" ht="16.5" thickBot="1" x14ac:dyDescent="0.3">
      <c r="A49" s="322">
        <v>44</v>
      </c>
      <c r="B49" s="324" t="s">
        <v>1132</v>
      </c>
      <c r="C49" s="171">
        <v>9</v>
      </c>
      <c r="D49" s="171">
        <v>9</v>
      </c>
      <c r="E49" s="170">
        <f>'2 lentele'!K113+'2 lentele'!K115+'2 lentele'!K116+'2 lentele'!K122+'2 lentele'!K123+'2 lentele'!K124+'2 lentele'!K125+'2 lentele'!K383+'2 lentele'!K384</f>
        <v>6406862.6499999994</v>
      </c>
      <c r="G49" s="174">
        <v>0</v>
      </c>
      <c r="H49" s="174">
        <v>0</v>
      </c>
      <c r="I49" s="173">
        <v>0</v>
      </c>
      <c r="K49" s="164"/>
      <c r="L49" s="164"/>
      <c r="M49" s="163"/>
      <c r="O49" s="167">
        <v>1</v>
      </c>
      <c r="P49" s="167">
        <v>1</v>
      </c>
      <c r="Q49" s="172">
        <v>65017.19</v>
      </c>
      <c r="S49" s="164"/>
      <c r="T49" s="164"/>
      <c r="U49" s="163"/>
      <c r="W49" s="164">
        <v>2</v>
      </c>
      <c r="X49" s="164">
        <v>2</v>
      </c>
      <c r="Y49" s="165">
        <v>5651748</v>
      </c>
      <c r="AA49" s="164">
        <v>0</v>
      </c>
      <c r="AB49" s="164">
        <v>0</v>
      </c>
      <c r="AC49" s="163">
        <v>0</v>
      </c>
      <c r="AE49" s="164">
        <v>1</v>
      </c>
      <c r="AF49" s="164">
        <v>1</v>
      </c>
      <c r="AG49" s="163">
        <v>305085.21999999997</v>
      </c>
    </row>
    <row r="50" spans="1:33" ht="16.5" thickBot="1" x14ac:dyDescent="0.3">
      <c r="A50" s="322">
        <v>45</v>
      </c>
      <c r="B50" s="324" t="s">
        <v>1133</v>
      </c>
      <c r="C50" s="171">
        <f t="shared" si="2"/>
        <v>1</v>
      </c>
      <c r="D50" s="171">
        <f t="shared" si="1"/>
        <v>1</v>
      </c>
      <c r="E50" s="170">
        <f>'2 lentele'!K114</f>
        <v>11584800</v>
      </c>
      <c r="G50" s="174">
        <v>0</v>
      </c>
      <c r="H50" s="174">
        <v>0</v>
      </c>
      <c r="I50" s="173">
        <v>0</v>
      </c>
      <c r="K50" s="164"/>
      <c r="L50" s="164"/>
      <c r="M50" s="163"/>
      <c r="O50" s="176"/>
      <c r="P50" s="176"/>
      <c r="Q50" s="175"/>
      <c r="S50" s="164"/>
      <c r="T50" s="164"/>
      <c r="U50" s="163"/>
      <c r="W50" s="164">
        <v>1</v>
      </c>
      <c r="X50" s="164">
        <v>1</v>
      </c>
      <c r="Y50" s="165">
        <v>13032900</v>
      </c>
      <c r="AA50" s="164">
        <v>0</v>
      </c>
      <c r="AB50" s="164">
        <v>0</v>
      </c>
      <c r="AC50" s="163">
        <v>0</v>
      </c>
      <c r="AE50" s="164"/>
      <c r="AF50" s="164"/>
      <c r="AG50" s="163"/>
    </row>
    <row r="51" spans="1:33" ht="16.5" thickBot="1" x14ac:dyDescent="0.3">
      <c r="A51" s="322">
        <v>46</v>
      </c>
      <c r="B51" s="324" t="s">
        <v>310</v>
      </c>
      <c r="C51" s="171">
        <v>0</v>
      </c>
      <c r="D51" s="171">
        <f t="shared" si="1"/>
        <v>0</v>
      </c>
      <c r="E51" s="170">
        <f>I51+M51+Q51+U51+Y51+AC51+AG51</f>
        <v>0</v>
      </c>
      <c r="G51" s="174">
        <v>0</v>
      </c>
      <c r="H51" s="174">
        <v>0</v>
      </c>
      <c r="I51" s="173">
        <v>0</v>
      </c>
      <c r="K51" s="164"/>
      <c r="L51" s="164"/>
      <c r="M51" s="163"/>
      <c r="O51" s="176"/>
      <c r="P51" s="176"/>
      <c r="Q51" s="175"/>
      <c r="S51" s="164"/>
      <c r="T51" s="164"/>
      <c r="U51" s="163"/>
      <c r="W51" s="164"/>
      <c r="X51" s="164"/>
      <c r="Y51" s="165">
        <v>0</v>
      </c>
      <c r="AA51" s="164">
        <v>0</v>
      </c>
      <c r="AB51" s="164">
        <v>0</v>
      </c>
      <c r="AC51" s="163">
        <v>0</v>
      </c>
      <c r="AE51" s="164">
        <v>1</v>
      </c>
      <c r="AF51" s="164"/>
      <c r="AG51" s="163"/>
    </row>
    <row r="52" spans="1:33" ht="16.5" thickBot="1" x14ac:dyDescent="0.3">
      <c r="A52" s="322">
        <v>47</v>
      </c>
      <c r="B52" s="324" t="s">
        <v>1134</v>
      </c>
      <c r="C52" s="171">
        <v>19</v>
      </c>
      <c r="D52" s="171">
        <v>16</v>
      </c>
      <c r="E52" s="170">
        <f>'2 lentele'!K258+'2 lentele'!K259+'2 lentele'!K282+'2 lentele'!K260+'2 lentele'!K261+'2 lentele'!K262+'2 lentele'!K263+'2 lentele'!K265+'2 lentele'!K264+'2 lentele'!K283+'2 lentele'!K284+'2 lentele'!K285+'2 lentele'!K286+'2 lentele'!K287+'2 lentele'!K288+'2 lentele'!K289</f>
        <v>2059039.4800000002</v>
      </c>
      <c r="G52" s="174">
        <v>0</v>
      </c>
      <c r="H52" s="174">
        <v>0</v>
      </c>
      <c r="I52" s="173">
        <v>0</v>
      </c>
      <c r="K52" s="164"/>
      <c r="L52" s="164"/>
      <c r="M52" s="163"/>
      <c r="O52" s="167">
        <v>2</v>
      </c>
      <c r="P52" s="167">
        <v>2</v>
      </c>
      <c r="Q52" s="177">
        <v>246451.49</v>
      </c>
      <c r="S52" s="164"/>
      <c r="T52" s="164"/>
      <c r="U52" s="163"/>
      <c r="W52" s="164">
        <v>8</v>
      </c>
      <c r="X52" s="164">
        <v>8</v>
      </c>
      <c r="Y52" s="165">
        <v>167683</v>
      </c>
      <c r="AA52" s="164">
        <v>1</v>
      </c>
      <c r="AB52" s="164">
        <v>1</v>
      </c>
      <c r="AC52" s="163">
        <v>58315</v>
      </c>
      <c r="AE52" s="164"/>
      <c r="AF52" s="164"/>
      <c r="AG52" s="163"/>
    </row>
    <row r="53" spans="1:33" ht="16.5" thickBot="1" x14ac:dyDescent="0.3">
      <c r="A53" s="322">
        <v>48</v>
      </c>
      <c r="B53" s="324" t="s">
        <v>309</v>
      </c>
      <c r="C53" s="171">
        <f t="shared" si="2"/>
        <v>0</v>
      </c>
      <c r="D53" s="171">
        <f t="shared" si="1"/>
        <v>0</v>
      </c>
      <c r="E53" s="170">
        <f>I53+M53+Q53+U53+Y53+AC53+AG53</f>
        <v>0</v>
      </c>
      <c r="G53" s="174">
        <v>0</v>
      </c>
      <c r="H53" s="174">
        <v>0</v>
      </c>
      <c r="I53" s="173">
        <v>0</v>
      </c>
      <c r="K53" s="164"/>
      <c r="L53" s="164"/>
      <c r="M53" s="163"/>
      <c r="O53" s="176"/>
      <c r="P53" s="176"/>
      <c r="Q53" s="175"/>
      <c r="S53" s="164"/>
      <c r="T53" s="164"/>
      <c r="U53" s="163"/>
      <c r="W53" s="164"/>
      <c r="X53" s="164"/>
      <c r="Y53" s="165">
        <v>0</v>
      </c>
      <c r="AA53" s="164">
        <v>0</v>
      </c>
      <c r="AB53" s="164">
        <v>0</v>
      </c>
      <c r="AC53" s="163">
        <v>0</v>
      </c>
      <c r="AE53" s="164"/>
      <c r="AF53" s="164"/>
      <c r="AG53" s="163"/>
    </row>
    <row r="54" spans="1:33" ht="16.5" thickBot="1" x14ac:dyDescent="0.3">
      <c r="A54" s="322">
        <v>49</v>
      </c>
      <c r="B54" s="323" t="s">
        <v>1135</v>
      </c>
      <c r="C54" s="171">
        <v>5</v>
      </c>
      <c r="D54" s="171">
        <v>5</v>
      </c>
      <c r="E54" s="170">
        <f>'2 lentele'!K200+'2 lentele'!K201+'2 lentele'!K202+'2 lentele'!K203+'2 lentele'!K204</f>
        <v>2224489.46</v>
      </c>
      <c r="G54" s="174">
        <v>0</v>
      </c>
      <c r="H54" s="174">
        <v>0</v>
      </c>
      <c r="I54" s="173">
        <v>0</v>
      </c>
      <c r="K54" s="164"/>
      <c r="L54" s="164"/>
      <c r="M54" s="163"/>
      <c r="O54" s="167">
        <v>1</v>
      </c>
      <c r="P54" s="167">
        <v>1</v>
      </c>
      <c r="Q54" s="172">
        <v>137155.76999999999</v>
      </c>
      <c r="S54" s="164"/>
      <c r="T54" s="164"/>
      <c r="U54" s="163"/>
      <c r="W54" s="164"/>
      <c r="X54" s="164"/>
      <c r="Y54" s="165">
        <v>0</v>
      </c>
      <c r="AA54" s="164">
        <v>0</v>
      </c>
      <c r="AB54" s="164">
        <v>0</v>
      </c>
      <c r="AC54" s="163">
        <v>0</v>
      </c>
      <c r="AE54" s="164">
        <v>1</v>
      </c>
      <c r="AF54" s="164">
        <v>1</v>
      </c>
      <c r="AG54" s="163">
        <v>314259.82</v>
      </c>
    </row>
    <row r="55" spans="1:33" ht="32.25" thickBot="1" x14ac:dyDescent="0.3">
      <c r="A55" s="322">
        <v>50</v>
      </c>
      <c r="B55" s="323" t="s">
        <v>1110</v>
      </c>
      <c r="C55" s="171">
        <v>32</v>
      </c>
      <c r="D55" s="171">
        <v>32</v>
      </c>
      <c r="E55" s="170">
        <f>'2 lentele'!K93+'2 lentele'!K100+'2 lentele'!K199+'2 lentele'!K210+'2 lentele'!K278+'2 lentele'!K279+'2 lentele'!K326+'2 lentele'!K328+'2 lentele'!K332+'2 lentele'!K333+'2 lentele'!K348+'2 lentele'!K349+'2 lentele'!K369+'2 lentele'!K370+'2 lentele'!K371+'2 lentele'!K372+'2 lentele'!K373+'2 lentele'!K374+'2 lentele'!K375+'2 lentele'!K376+'2 lentele'!K377+'2 lentele'!K443+'2 lentele'!K444+'2 lentele'!K445+'2 lentele'!K446+'2 lentele'!K447+'2 lentele'!K448+'2 lentele'!K467+'2 lentele'!K473+'2 lentele'!K474+'2 lentele'!K475+'2 lentele'!K337</f>
        <v>7500484.919999999</v>
      </c>
      <c r="G55" s="169">
        <v>2</v>
      </c>
      <c r="H55" s="169">
        <v>2</v>
      </c>
      <c r="I55" s="168" t="s">
        <v>308</v>
      </c>
      <c r="K55" s="164"/>
      <c r="L55" s="164"/>
      <c r="M55" s="163"/>
      <c r="O55" s="167">
        <v>1</v>
      </c>
      <c r="P55" s="167">
        <v>1</v>
      </c>
      <c r="Q55" s="166">
        <v>33927.24</v>
      </c>
      <c r="S55" s="164">
        <v>1</v>
      </c>
      <c r="T55" s="164"/>
      <c r="U55" s="163"/>
      <c r="W55" s="164">
        <v>3</v>
      </c>
      <c r="X55" s="164">
        <v>3</v>
      </c>
      <c r="Y55" s="165">
        <v>1755220</v>
      </c>
      <c r="AA55" s="164">
        <v>9</v>
      </c>
      <c r="AB55" s="164">
        <v>9</v>
      </c>
      <c r="AC55" s="163">
        <v>2293291.0099999998</v>
      </c>
      <c r="AE55" s="164">
        <v>5</v>
      </c>
      <c r="AF55" s="164">
        <v>5</v>
      </c>
      <c r="AG55" s="163">
        <f>251947.34+352941.18+160824.29+176470.59+45000</f>
        <v>987183.4</v>
      </c>
    </row>
    <row r="56" spans="1:33" ht="25.5" x14ac:dyDescent="0.25">
      <c r="A56" s="322">
        <v>51</v>
      </c>
      <c r="B56" s="324" t="s">
        <v>1111</v>
      </c>
      <c r="C56" s="171">
        <v>0</v>
      </c>
      <c r="D56" s="171">
        <f>H56+L56+P56+T56+X56+AB56+AF56</f>
        <v>0</v>
      </c>
      <c r="E56" s="170">
        <f>I56+M56+Q56+U56+Y56+AC56+AG56</f>
        <v>0</v>
      </c>
    </row>
    <row r="57" spans="1:33" ht="25.5" x14ac:dyDescent="0.25">
      <c r="A57" s="322">
        <v>52</v>
      </c>
      <c r="B57" s="324" t="s">
        <v>1112</v>
      </c>
      <c r="C57" s="171">
        <v>0</v>
      </c>
      <c r="D57" s="171">
        <f>H57+L57+P57+T57+X57+AB57+AF57</f>
        <v>0</v>
      </c>
      <c r="E57" s="170">
        <f>I57+M57+Q57+U57+Y57+AC57+AG57</f>
        <v>0</v>
      </c>
    </row>
    <row r="65" spans="2:2" x14ac:dyDescent="0.25">
      <c r="B65" t="s">
        <v>1680</v>
      </c>
    </row>
  </sheetData>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Mindaugas Juknevičius</cp:lastModifiedBy>
  <cp:lastPrinted>2018-01-31T06:26:15Z</cp:lastPrinted>
  <dcterms:created xsi:type="dcterms:W3CDTF">2015-06-15T13:21:53Z</dcterms:created>
  <dcterms:modified xsi:type="dcterms:W3CDTF">2018-02-28T12:30:56Z</dcterms:modified>
</cp:coreProperties>
</file>