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IS\Failai\POSĖDŽIAI\2019\2019-03-(05-12) Rašytinė\KRPP paruoštas\"/>
    </mc:Choice>
  </mc:AlternateContent>
  <bookViews>
    <workbookView xWindow="0" yWindow="0" windowWidth="16110" windowHeight="10380"/>
  </bookViews>
  <sheets>
    <sheet name="1-2 lentelė" sheetId="1" r:id="rId1"/>
    <sheet name=" 3 lentelė" sheetId="2" r:id="rId2"/>
    <sheet name="4-5 lentelės" sheetId="3" r:id="rId3"/>
    <sheet name="4 lentelei pagal metus" sheetId="16" state="hidden" r:id="rId4"/>
    <sheet name="4 lentelės skaičiavimai" sheetId="14" state="hidden" r:id="rId5"/>
    <sheet name="Lapas8" sheetId="8" state="hidden" r:id="rId6"/>
    <sheet name=" 6 lentelė" sheetId="4" r:id="rId7"/>
    <sheet name="7 lentelė" sheetId="5" r:id="rId8"/>
  </sheets>
  <definedNames>
    <definedName name="_xlnm._FilterDatabase" localSheetId="3" hidden="1">'4 lentelei pagal metus'!$AD$2:$AF$12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8" i="3" l="1"/>
  <c r="I108" i="3"/>
  <c r="J23" i="3"/>
  <c r="I23" i="3"/>
  <c r="J109" i="3" l="1"/>
  <c r="J24" i="3"/>
  <c r="I109" i="3" l="1"/>
  <c r="I24" i="3"/>
  <c r="K109" i="3" l="1"/>
  <c r="L109" i="3" s="1"/>
  <c r="M109" i="3" s="1"/>
  <c r="H109" i="3"/>
  <c r="G109" i="3"/>
  <c r="F109" i="3"/>
  <c r="K24" i="3"/>
  <c r="K108" i="3" l="1"/>
  <c r="M23" i="3"/>
  <c r="K23" i="3"/>
  <c r="H108" i="3" l="1"/>
  <c r="H23" i="3"/>
  <c r="I68" i="3" l="1"/>
  <c r="H68" i="3"/>
  <c r="I153" i="3"/>
  <c r="H153" i="3"/>
  <c r="J100" i="3" l="1"/>
  <c r="J15" i="3"/>
  <c r="J146" i="3" l="1"/>
  <c r="I146" i="3"/>
  <c r="J61" i="3"/>
  <c r="I61" i="3"/>
  <c r="K115" i="3" l="1"/>
  <c r="J115" i="3"/>
  <c r="K114" i="3"/>
  <c r="J114" i="3"/>
  <c r="I114" i="3"/>
  <c r="H114" i="3"/>
  <c r="K113" i="3"/>
  <c r="J113" i="3"/>
  <c r="K112" i="3"/>
  <c r="J112" i="3"/>
  <c r="I112" i="3"/>
  <c r="H112" i="3"/>
  <c r="I115" i="3"/>
  <c r="K148" i="3"/>
  <c r="J148" i="3"/>
  <c r="I148" i="3"/>
  <c r="H148" i="3"/>
  <c r="J30" i="3"/>
  <c r="I30" i="3"/>
  <c r="J29" i="3"/>
  <c r="I29" i="3"/>
  <c r="J27" i="3"/>
  <c r="I27" i="3"/>
  <c r="J63" i="3"/>
  <c r="I63" i="3"/>
  <c r="J153" i="3" l="1"/>
  <c r="K153" i="3" s="1"/>
  <c r="L153" i="3" s="1"/>
  <c r="M153" i="3" s="1"/>
  <c r="J170" i="3"/>
  <c r="I170" i="3"/>
  <c r="H170" i="3"/>
  <c r="K100" i="3"/>
  <c r="I100" i="3"/>
  <c r="H100" i="3"/>
  <c r="K68" i="3"/>
  <c r="J68" i="3"/>
  <c r="J85" i="3"/>
  <c r="K15" i="3"/>
  <c r="J107" i="3" l="1"/>
  <c r="I107" i="3"/>
  <c r="J22" i="3"/>
  <c r="I22" i="3"/>
  <c r="I98" i="3" l="1"/>
  <c r="J98" i="3" s="1"/>
  <c r="I97" i="3"/>
  <c r="J97" i="3" s="1"/>
  <c r="J96" i="3"/>
  <c r="I96" i="3"/>
  <c r="J12" i="3"/>
  <c r="I12" i="3"/>
  <c r="J56" i="3" l="1"/>
  <c r="M24" i="3" l="1"/>
  <c r="I85" i="3" l="1"/>
  <c r="I15" i="3" l="1"/>
  <c r="J142" i="3" l="1"/>
  <c r="J57" i="3"/>
  <c r="I164" i="3" l="1"/>
  <c r="J164" i="3" s="1"/>
  <c r="K164" i="3" s="1"/>
  <c r="I163" i="3"/>
  <c r="J163" i="3" s="1"/>
  <c r="K163" i="3" s="1"/>
  <c r="I106" i="3"/>
  <c r="J106" i="3" s="1"/>
  <c r="K106" i="3" s="1"/>
  <c r="I21" i="3"/>
  <c r="I161" i="3"/>
  <c r="J162" i="3"/>
  <c r="J77" i="3"/>
  <c r="J21" i="3"/>
  <c r="I135" i="3"/>
  <c r="J135" i="3" s="1"/>
  <c r="J50" i="3"/>
  <c r="I50" i="3"/>
  <c r="J158" i="3"/>
  <c r="I157" i="3"/>
  <c r="J157" i="3" s="1"/>
  <c r="K157" i="3" s="1"/>
  <c r="L157" i="3" s="1"/>
  <c r="J73" i="3"/>
  <c r="J72" i="3"/>
  <c r="I72" i="3"/>
  <c r="H155" i="3" l="1"/>
  <c r="I155" i="3" s="1"/>
  <c r="J155" i="3" s="1"/>
  <c r="K155" i="3" s="1"/>
  <c r="L155" i="3" s="1"/>
  <c r="H70" i="3"/>
  <c r="I70" i="3"/>
  <c r="J167" i="3"/>
  <c r="J166" i="3"/>
  <c r="L108" i="3" l="1"/>
  <c r="M108" i="3" s="1"/>
  <c r="I165" i="3"/>
  <c r="I14" i="3" l="1"/>
  <c r="I99" i="3"/>
  <c r="J99" i="3" s="1"/>
  <c r="I147" i="3"/>
  <c r="H147" i="3"/>
  <c r="H62" i="3"/>
  <c r="H15" i="3" l="1"/>
  <c r="H85" i="3"/>
  <c r="K167" i="3" l="1"/>
  <c r="K166" i="3"/>
  <c r="J165" i="3"/>
  <c r="K165" i="3" s="1"/>
  <c r="L165" i="3" s="1"/>
  <c r="M165" i="3" s="1"/>
  <c r="L160" i="3"/>
  <c r="K160" i="3"/>
  <c r="I141" i="3"/>
  <c r="K136" i="3"/>
  <c r="J136" i="3"/>
  <c r="L130" i="3"/>
  <c r="K126" i="3"/>
  <c r="L126" i="3" s="1"/>
  <c r="M126" i="3" s="1"/>
  <c r="J126" i="3"/>
  <c r="I102" i="3"/>
  <c r="J102" i="3" s="1"/>
  <c r="J141" i="3" l="1"/>
  <c r="K141" i="3" s="1"/>
</calcChain>
</file>

<file path=xl/sharedStrings.xml><?xml version="1.0" encoding="utf-8"?>
<sst xmlns="http://schemas.openxmlformats.org/spreadsheetml/2006/main" count="3687" uniqueCount="1422">
  <si>
    <t>metodikos</t>
  </si>
  <si>
    <t>Kodas</t>
  </si>
  <si>
    <t>Metai:</t>
  </si>
  <si>
    <t xml:space="preserve">PLANO ĮGYVENDINIMO STEBĖSENA </t>
  </si>
  <si>
    <t>VERTINIMO KRITERIJAI</t>
  </si>
  <si>
    <t>1 lentelė. Efekto vertinimo kriterijai.</t>
  </si>
  <si>
    <t>Prioritetai ir tikslai</t>
  </si>
  <si>
    <t>Vertinimo kriterijus pavadinimas</t>
  </si>
  <si>
    <t>Nuokrypio intervalų ribos ir įvertinimas**</t>
  </si>
  <si>
    <t xml:space="preserve">* Čia ir toliau: efekto vertinimo kriterijaus kodas sudaromas naudojant formatą „A-ef-Y“, kur A – prioriteto eilės numeris plane, B – tikslo eilės numeris plane, ef – vertinimo kriterijaus tipas – efekto vertinimo kriterijus, X – atitinkamo vertinimo kriterijaus eilės numeris (kiekvieno prioriteto efekto vertinimo kriterijai numeruojami iš naujo). </t>
  </si>
  <si>
    <t>**Čia ir toliau: „a“ ir „b“ siekiamos reikšmės nuokrypio  intervalo ribos, o c reikšmė – kritinė riba, kurios nepasiekus per nustatytą laikotarpį, laikoma, kad prioritetas, tikslas ar uždavinys per suplanuotą laikotarpį iš esmės neįgyvendintas. Siekiama reikšmė nustatoma intervalo (a;b) (gerai) ribose.</t>
  </si>
  <si>
    <t xml:space="preserve">*** Čia ir toliau: kai teigiamus pokyčius atspindi kriterijaus reikšmės sumažėjimas (pvz. nedarbo lygio). </t>
  </si>
  <si>
    <t>2 lentelė. Rezultato vertinimo kriterijai.</t>
  </si>
  <si>
    <t>Tikslai ir uždaviniai</t>
  </si>
  <si>
    <t>Nuokrypio intervalų ribos ir įvertinimas</t>
  </si>
  <si>
    <t xml:space="preserve">* Čia ir toliau: rezultato vertinimo kriterijaus kodas sudaromas naudojant formatą „A.B.C-r-X“, kur A – prioriteto eilės numeris plane, B – tikslo eilės numeris plane, C – uždavinio eilės numeris plane, r– vertinimo kriterijaus tipas – rezultato vertinimo kriterijus, X – atitinkamo rezultato vertinimo kriterijaus eilės numeris (kiekvienam tikslui  rezultato vertinimo kriterijai numeruojami iš naujo). </t>
  </si>
  <si>
    <t>4 priedas</t>
  </si>
  <si>
    <t>EFEKTO IR REZULTATO VERTINIMO KRITERIJŲ PASIEKIMO GRAFIKAS</t>
  </si>
  <si>
    <t>3 lentelė. Efekto ir rezultato vertinimo kriterijų pasiekimo grafikas.</t>
  </si>
  <si>
    <t>Vertinimo kriterijaus pavadinimas</t>
  </si>
  <si>
    <t>* Nurodomos reikšmės tiems metams, kuriais numatyta įgyvendinti tikslą ar uždavinį.</t>
  </si>
  <si>
    <r>
      <t xml:space="preserve">**Kur </t>
    </r>
    <r>
      <rPr>
        <b/>
        <sz val="12"/>
        <color theme="1"/>
        <rFont val="Times New Roman"/>
        <family val="1"/>
        <charset val="186"/>
      </rPr>
      <t xml:space="preserve">a, b ir c – </t>
    </r>
    <r>
      <rPr>
        <sz val="12"/>
        <color theme="1"/>
        <rFont val="Times New Roman"/>
        <family val="1"/>
        <charset val="186"/>
      </rPr>
      <t>nuokrypio intervalų ribos kasmet.</t>
    </r>
  </si>
  <si>
    <t>PRODUKTO VERTINIMO KRITERIJŲ PASIEKIMO GRAFIKAS</t>
  </si>
  <si>
    <t>4 lentelė. Siektinos produkto ir rezultato vertinimo kriterijų reikšmės atitinkamais metais.</t>
  </si>
  <si>
    <t>5 lentelė. Siektinos produkto ir rezultato vertinimo kriterijų reikšmės kaupiamuoju būdu (nuo plano įgyvendinimo pradžios).</t>
  </si>
  <si>
    <t>VERTINIMO KRITERIJŲ REIKŠMIŲ APSKAIČIAVIMO METODAI, DALYVAUJANČIOS INSTITUCIJOS IR DUOMENŲ ŠALTINIAI</t>
  </si>
  <si>
    <t>Eil. Nr.</t>
  </si>
  <si>
    <t>Vertinimo kriterijaus apskaičiavimo formulė arba tyrimo pavadinimas*</t>
  </si>
  <si>
    <t>Vertinimo kriterijaus reikšmei apskaičiuoti arba tyrimui atlikti naudojami duomenys (kintamieji)</t>
  </si>
  <si>
    <t>Duomenis pateikiančios institucijos</t>
  </si>
  <si>
    <t>Duomenų gavimo šaltiniai **</t>
  </si>
  <si>
    <t>Vertinimo kriterijaus reikšmę apskaičiuojanti institucija</t>
  </si>
  <si>
    <t>Vertinimo kriterijaus reikšmės apskaičiavimo periodiškumas</t>
  </si>
  <si>
    <t>*  Jei vertinimo kriterijui apskaičiuoti bus atliekamas papildomas tyrimas, plano priede pateikiamas trumpas laisvos formos tyrimo metodo (-ų) aprašymas.</t>
  </si>
  <si>
    <t>** Iš viešųjų šaltinių  (leidiniai, viešosios duomenų bazės, teisės aktai, periodinės apžvalgos ir kt.); naudojant informacines sistemas; tiesiogiai kreipiantis į duomenis renkančią instituciją ar įstaigą; kita.</t>
  </si>
  <si>
    <t>VISUOMENĖS INFORMAVIMO APIE PLANO ĮGYVENDINIMĄ PRIEMONĖS</t>
  </si>
  <si>
    <t>Informacijos pobūdis</t>
  </si>
  <si>
    <t>Skelbimo periodiškumas*</t>
  </si>
  <si>
    <t>Paskelbimo šaltinis (pažymėti)</t>
  </si>
  <si>
    <t>Lėšų poreikis ir finansavimo šaltiniai</t>
  </si>
  <si>
    <t>Skelbimas internete</t>
  </si>
  <si>
    <t>Pranešimas spaudai</t>
  </si>
  <si>
    <t>Užsakomasis straipsnis</t>
  </si>
  <si>
    <t>Televizijos laida</t>
  </si>
  <si>
    <t>Radijo pranešimas</t>
  </si>
  <si>
    <t>Seminaras, konferencija</t>
  </si>
  <si>
    <t>Kita (nurodyti)</t>
  </si>
  <si>
    <t>Plano įgyvendinimo ataskaita</t>
  </si>
  <si>
    <t>Periodinė apžvalga</t>
  </si>
  <si>
    <t>Teminė apžvalga</t>
  </si>
  <si>
    <t>Informacinis pranešimas</t>
  </si>
  <si>
    <t>* Vienkartinis, periodinis (nurodyti periodiškumą)</t>
  </si>
  <si>
    <t>Regionų plėtros planų rengimo</t>
  </si>
  <si>
    <t>REGIONINĖS PLĖTROS DEPARTAMENTO PRIE VIDAUS REIKALŲ MINISTERIJOS KAUNO APSKRITIES SKYRIUS</t>
  </si>
  <si>
    <t>Siekiama reikšmė (2020 m.)</t>
  </si>
  <si>
    <t>1.1-ef-1</t>
  </si>
  <si>
    <t>Bendrasis vidaus produktas tenkantis vienam gyventojui Kauno regione palyginti su šalies vidurkiu, proc.</t>
  </si>
  <si>
    <t xml:space="preserve">98,16
(2012 m.)
</t>
  </si>
  <si>
    <t>1.2-ef-1</t>
  </si>
  <si>
    <t>Bendrasis vidaus produktas tenkantis vienam gyventojui Kauno apskrityje, tūkst. Eur;</t>
  </si>
  <si>
    <t xml:space="preserve">10,83
(2012 m)
</t>
  </si>
  <si>
    <t>1.3-ef-1</t>
  </si>
  <si>
    <t xml:space="preserve">20,93
(2013 m.)
</t>
  </si>
  <si>
    <t>1.4-ef-1</t>
  </si>
  <si>
    <t>Apgyvendintų turistų skaičius apgyvendinimo įstaigose 1000 gyventojų Kauno regione</t>
  </si>
  <si>
    <t xml:space="preserve">457
(2013 m.)
</t>
  </si>
  <si>
    <t>2.2-ef-1</t>
  </si>
  <si>
    <t>18 – 24 m. amžiaus jaunimo, kuris neturi vidurinio išsilavinimo ir niekur nesimoko Kauno regione, dalis (proc.)</t>
  </si>
  <si>
    <t>2.3-ef-1</t>
  </si>
  <si>
    <t>Išlaidos socialinei pašalpai tūkst. Eur/1000 gyventojų Kauno regione</t>
  </si>
  <si>
    <t>2.4-ef-1</t>
  </si>
  <si>
    <t>Vidutinė tikėtina gyvenimo trukmė Kauno regione, metai</t>
  </si>
  <si>
    <t>2.5-ef-1</t>
  </si>
  <si>
    <t>Užregistruotų nusikalstamų veikų skaičius 100 tūkst. gyventojų Kauno regione</t>
  </si>
  <si>
    <t>2.6-ef-1</t>
  </si>
  <si>
    <t>Užimtųjų dalis žemės ūkio, miškininkystės ir žuvininkystės sektoriuje nuo visų užimtųjų Kauno regione, proc.</t>
  </si>
  <si>
    <t xml:space="preserve">6,3
(2013 m.)
</t>
  </si>
  <si>
    <t xml:space="preserve">41,81
(2013)
</t>
  </si>
  <si>
    <t xml:space="preserve">75,33
(2013 m.)
</t>
  </si>
  <si>
    <t xml:space="preserve">2804
(2013 m.)
</t>
  </si>
  <si>
    <t>(+∞–2804](blogai)</t>
  </si>
  <si>
    <t>(2804–2500] (patenkinamai)</t>
  </si>
  <si>
    <t>(2500–2000) (gerai)</t>
  </si>
  <si>
    <t>[2000–0] (labai gerai)</t>
  </si>
  <si>
    <t>[0–75,33] (blogai)</t>
  </si>
  <si>
    <t>(75,33–76] (patenkinamai)</t>
  </si>
  <si>
    <t>(76–77) (gerai)</t>
  </si>
  <si>
    <t>[0–41,81] (blogai)</t>
  </si>
  <si>
    <t>(41,81–43,44] (patenkinamai)</t>
  </si>
  <si>
    <t>(43,44–46,34) (gerai)</t>
  </si>
  <si>
    <t>[ 46,34–49,24] (labai gerai)</t>
  </si>
  <si>
    <t>[100–6,3] (blogai)</t>
  </si>
  <si>
    <t>(6,3–6] (patenkinamai)</t>
  </si>
  <si>
    <t>(6–5) (gerai)</t>
  </si>
  <si>
    <t>[5–0] (labai gerai)</t>
  </si>
  <si>
    <t>[0–457] (blogai)</t>
  </si>
  <si>
    <t>[0–20,93] (blogai)</t>
  </si>
  <si>
    <t>(20,93–22] (patenkinamai)</t>
  </si>
  <si>
    <t>(99–100) (gerai)</t>
  </si>
  <si>
    <t>(98,5–99] (patenkinamai)</t>
  </si>
  <si>
    <t xml:space="preserve">6,35
(2011 m.)
</t>
  </si>
  <si>
    <t>PRIORITETAS: ŽMOGAUS IR APLINKOS SANTARA</t>
  </si>
  <si>
    <t>PRIORITETAS: GYVENIMO KOKYBĖ</t>
  </si>
  <si>
    <t>PRIORITETAS: PAŽANGI EKONOMIKA</t>
  </si>
  <si>
    <t>3.1-ef-1</t>
  </si>
  <si>
    <t>Perdirbtų (panaudotų) komunalinių atliekų dalis Kauno regione, proc.</t>
  </si>
  <si>
    <t>3.2-ef-1</t>
  </si>
  <si>
    <t>Savivaldybių, turinčių galiojančius savivaldybių teritorijų planavimo dokumentus skaičius.</t>
  </si>
  <si>
    <t xml:space="preserve">15,2
(2013 m.)
</t>
  </si>
  <si>
    <t xml:space="preserve">13
(2014 m.)
</t>
  </si>
  <si>
    <t>[13] (labai gerai)</t>
  </si>
  <si>
    <t>[4,5–2] (labai gerai)</t>
  </si>
  <si>
    <t>(5–4,5) (gerai)</t>
  </si>
  <si>
    <t>(6,35–5] (patenkinamai)</t>
  </si>
  <si>
    <t>[8–6,35] (blogai)</t>
  </si>
  <si>
    <t>[50–100] (labai gerai)</t>
  </si>
  <si>
    <t>(32–50) (gerai)</t>
  </si>
  <si>
    <t>(23–32] (patenkinamai)</t>
  </si>
  <si>
    <t>[15,2–23] (blogai)</t>
  </si>
  <si>
    <t>(10–13) (gerai)</t>
  </si>
  <si>
    <t>(5–10] (patenkinamai)</t>
  </si>
  <si>
    <t>[0–5] (blogai)</t>
  </si>
  <si>
    <t>[100–+∞) (labai gerai)</t>
  </si>
  <si>
    <t>(-∞–98,5] (blogai)</t>
  </si>
  <si>
    <t>[77–+∞) (labai gerai)</t>
  </si>
  <si>
    <t>1.1.1-r-1</t>
  </si>
  <si>
    <t>Tiesioginės užsienio investicijos tenkančios vienam gyventojui Kauno apskrityje, Eur</t>
  </si>
  <si>
    <t xml:space="preserve">2505,79
(2012 m.)
</t>
  </si>
  <si>
    <t>(2751,39–2896,20) (gerai)</t>
  </si>
  <si>
    <t>(2577,62–2751,39] (patenkinamai)</t>
  </si>
  <si>
    <t>[0–2577,62] (blogai)</t>
  </si>
  <si>
    <t>1.1.1-r-2</t>
  </si>
  <si>
    <t>Įmonės diegiančios inovacijas – technologiniai ir netechnologiniai novatoriai Kauno apskrityje (proc. nuo visų įmonių);</t>
  </si>
  <si>
    <t>1.1.2-r-1</t>
  </si>
  <si>
    <t>Materialinės investicijos tenkančios vienam gyventojui Kauno apskrityje, Eur</t>
  </si>
  <si>
    <t xml:space="preserve">1303
(2012 m.)
</t>
  </si>
  <si>
    <t>1.2.1-r-1</t>
  </si>
  <si>
    <t>Smulkaus ir vidutinio verslo įmonių tenkančių 1000 gyventojų skaičius, Kauno apskritis, vnt.</t>
  </si>
  <si>
    <t xml:space="preserve">21,56
(2013 m.)
</t>
  </si>
  <si>
    <t>1.2.2-r-1</t>
  </si>
  <si>
    <t>Verslo informacinių centrų aptarnautų įmonių skaičius per metus Kauno regione</t>
  </si>
  <si>
    <t>–</t>
  </si>
  <si>
    <t>Tikslas. Plėtoti regiono transporto infrastruktūrą</t>
  </si>
  <si>
    <t>1.3.1-r-1</t>
  </si>
  <si>
    <t>Žvyro kelių ilgis nuo visų kelių ilgio Kauno regione, proc.</t>
  </si>
  <si>
    <t>1.3.1-r-2</t>
  </si>
  <si>
    <t>Kelių eismo įvykių skaičius 1000 gyventojų Kauno regione</t>
  </si>
  <si>
    <t>Kelių eismo įvykiuose sužeistųjų skaičius 1000 gyventojų Kauno regione</t>
  </si>
  <si>
    <t>1.3.1-r-3</t>
  </si>
  <si>
    <t>Kelių eismo įvykiuose žuvusiųjų skaičius 1000 gyventojų Kauno regione</t>
  </si>
  <si>
    <t xml:space="preserve">60,18
(2013 m.)
</t>
  </si>
  <si>
    <t xml:space="preserve">1,12
(2013 m.)
</t>
  </si>
  <si>
    <t xml:space="preserve">1,36
(2013 m.)
</t>
  </si>
  <si>
    <t xml:space="preserve">0,067
(2013 m.)
</t>
  </si>
  <si>
    <t xml:space="preserve">Tikslas. Siekti, kad Kauno regionas taptų tarptautinio ir vietinio turizmo bei įvairiapusiškų poilsio paslaugų centru </t>
  </si>
  <si>
    <t>1.4.1-r-1</t>
  </si>
  <si>
    <t>Suteiktų nakvynių skaičius apgyvendinimo įstaigose 1000 gyventojų Kauno regione</t>
  </si>
  <si>
    <t xml:space="preserve">1111
(2013 m.)
</t>
  </si>
  <si>
    <t>1.4.1-r-2</t>
  </si>
  <si>
    <t>Apgyvendinimo įstaigų skaičius 1000 gyventojų Kauno regione</t>
  </si>
  <si>
    <t>1.4.2-r -1</t>
  </si>
  <si>
    <t>Lankytojų skaičius turizmo informaciniuose centruose 1000 gyventojų Kauno regione</t>
  </si>
  <si>
    <t xml:space="preserve">223
(2013 m.)
</t>
  </si>
  <si>
    <t xml:space="preserve">0,23
(2013 m.)
</t>
  </si>
  <si>
    <t>Tikslas. Vystyti subalansuotą mokymosi sistemą.</t>
  </si>
  <si>
    <t>2.2.1-r-1</t>
  </si>
  <si>
    <t>Mokyklinio amžiaus vaikai nesimokantys mokykloje dėl socialinių, psichologinių ir kt. priežasčių Kauno regione</t>
  </si>
  <si>
    <t>2.2.2-r-1</t>
  </si>
  <si>
    <t>Renovuotų geresnei energijos vartojimo klasei priskiriamų savivaldybėms priklausančių viešųjų pastatų skaičius nuo bendro Kauno regiono savivaldybėms priklausančių viešųjų pastatų skaičiaus</t>
  </si>
  <si>
    <t>2.2.3-r-1</t>
  </si>
  <si>
    <t>Mokymuose dalyvavusių žmonių skaičius Kauno regione</t>
  </si>
  <si>
    <t>2.2.4-r-1</t>
  </si>
  <si>
    <t>Renovuotų geresnei energijos vartojimo klasei priskiriamų savivaldybėms priklausančių neformalaus švietimo įstaigų pastatų skaičius nuo bendro neformalaus švietimo įstaigų pastatų, priklausančių savivaldybėms skaičiaus Kauno regione</t>
  </si>
  <si>
    <t>Tikslas. Užtikrinti teikiamų socialinių paslaugų prieinamumą.</t>
  </si>
  <si>
    <t>2.3.1-r-1</t>
  </si>
  <si>
    <t>Asmenys, gyvenantys namų ūkiuose, susiduriančiuose su ekonominiais sunkumais (dėl pinigų stokos negali laiku sumokėti būsto nuomos, komunalinių mokesčių, būsto ar kitų paskolų, kredito) Kauno regione, proc.</t>
  </si>
  <si>
    <t>2.3.1-r-2</t>
  </si>
  <si>
    <t>Socialines paslaugas į namus gavusių asmenų skaičius 1000 gyventojų Kauno regione</t>
  </si>
  <si>
    <t xml:space="preserve">15
(2013)
</t>
  </si>
  <si>
    <t xml:space="preserve">5,74
(2013 m.)
</t>
  </si>
  <si>
    <t>2.3.2-r-1</t>
  </si>
  <si>
    <t>Įrengti nauji ar įsigyti socialiniai būstai, vienetais</t>
  </si>
  <si>
    <t>Tikslas. Plėtoti Kauno regioną kaip vieną iš Europos sveikatos regionų.</t>
  </si>
  <si>
    <t>2.4.1-r-1</t>
  </si>
  <si>
    <t>Praktikuojančių gydytojų skaičius, tenkantis 10 tūkst. gyv.</t>
  </si>
  <si>
    <t xml:space="preserve">46,5 
(2012 m.)
</t>
  </si>
  <si>
    <t>2.4.2-r-1</t>
  </si>
  <si>
    <t>Renovuotų geresnei energijos vartojimo klasei priskiriamų savivaldybėms priklausančių sveikatos įstaigų viešųjų pastatų skaičius nuo bendro savivaldybei priklausančių sveikatos įstaigų viešųjų pastatų skaičiaus</t>
  </si>
  <si>
    <t xml:space="preserve">Tikslas. Plėtoti socialinę infrastruktūrą ir bendruomenines iniciatyvas, skirtas gyventojų gyvenimo kokybės ir gyvenamosios aplinkos gerinimui.  </t>
  </si>
  <si>
    <t>2.5.1-r-1</t>
  </si>
  <si>
    <t>Meno kolektyvų skaičius Kauno regione</t>
  </si>
  <si>
    <t xml:space="preserve">659
(2013 m.)
</t>
  </si>
  <si>
    <t>2.5.1-r-2</t>
  </si>
  <si>
    <t>Sporto varžybų ir sveikatingumo renginių dalyviai Kauno regione</t>
  </si>
  <si>
    <t>2.5.2-r-1</t>
  </si>
  <si>
    <t>Naujai įsteigtų bendruomenės namų skaičius Kauno regione</t>
  </si>
  <si>
    <t>2.5.2-r-2</t>
  </si>
  <si>
    <t>Nepilnamečių padarytų nusikalstamų veikų Kauno regione skaičius tenkantis 1000 nepilnamečių</t>
  </si>
  <si>
    <t xml:space="preserve">180 704
(2013 m.)
</t>
  </si>
  <si>
    <t xml:space="preserve">5,6
(2013 m.)
</t>
  </si>
  <si>
    <t>Tikslas. Visapusiškai vystyti ir modernizuoti kaimo vietoves ir verslą kaime</t>
  </si>
  <si>
    <t>2.6.1-r-1</t>
  </si>
  <si>
    <t>2.6.2-r-1</t>
  </si>
  <si>
    <t>Naujai įsikūrusių bendruomenių skaičius kaimo vietovėse Kauno regione</t>
  </si>
  <si>
    <t>Ūkių vidutinis dydis pagal žemės ūkio naudmenas Kauno regione, ha</t>
  </si>
  <si>
    <t xml:space="preserve">15,68
(2014 m.)
</t>
  </si>
  <si>
    <t>Tikslas. Skatinti darnų išteklių naudojimą, užtikrinti ekosistemų stabilumą Kauno regione.</t>
  </si>
  <si>
    <t>3.1.1-r-1</t>
  </si>
  <si>
    <t>Rekultivuotų sąvartynų skaičius Kauno regione</t>
  </si>
  <si>
    <t>3.1.1-r-2</t>
  </si>
  <si>
    <t>Komunalinių atliekų susidarymas vienam gyventojui Lietuvoje, kg</t>
  </si>
  <si>
    <t>3.1.2-r-1</t>
  </si>
  <si>
    <t>Užterštų (be valymo) ir nepakankamai išvalytų nuotekų, išleistų į paviršinius vandenis, dalis bendrame nuotekų kiekyje, Kauno apskritis, proc.</t>
  </si>
  <si>
    <t>3.1.2-r-2</t>
  </si>
  <si>
    <t>Naujų ir renovuotų centralizuoto vandens ir nuotekų tinklų ilgis Kauno regione, km</t>
  </si>
  <si>
    <t>3.1.3-r-1</t>
  </si>
  <si>
    <t>Renovuotų daugiabučių skaičius</t>
  </si>
  <si>
    <t>3.1.3-r-2</t>
  </si>
  <si>
    <t>3.1.3-r-3</t>
  </si>
  <si>
    <t>Viešojo ekologiško transporto dalis nuo viso viešojo transporto parko Kauno regione</t>
  </si>
  <si>
    <t>3.1.4-r-1</t>
  </si>
  <si>
    <t>Sutvarkytų užterštų, apleistų teritorijų ir vandens telkinių skaičius Kauno regione</t>
  </si>
  <si>
    <t xml:space="preserve">354,9
(2013 m.)
</t>
  </si>
  <si>
    <t xml:space="preserve">0,06
(2012 m.)
</t>
  </si>
  <si>
    <t>Tikslas. Parengti regiono įvairių lygmenų teritorijų bei socialinės ekonominės plėtros planavimo dokumentus, diegti ir tobulinti planavimo sistemas.</t>
  </si>
  <si>
    <t>3.2.1-r-1</t>
  </si>
  <si>
    <t>Savivaldybių teritorijų ir jų dalių (miestų ir miestelių) atnaujintų bendrųjų, specialiųjų ir kt. planavimo dokumentų skaičius</t>
  </si>
  <si>
    <t>3.2.2-r-1</t>
  </si>
  <si>
    <t>Įdiegtos viešojo administravimo paslaugų gerinimo kokybės sistemos</t>
  </si>
  <si>
    <t>[2896,20–+∞) (labai gerai)</t>
  </si>
  <si>
    <r>
      <t>Kelių su patobulinta danga ilgis</t>
    </r>
    <r>
      <rPr>
        <sz val="11"/>
        <color theme="1"/>
        <rFont val="Times New Roman"/>
        <family val="1"/>
        <charset val="186"/>
      </rPr>
      <t xml:space="preserve"> nuo visų kelių ilgio Kauno regione</t>
    </r>
    <r>
      <rPr>
        <sz val="11"/>
        <color rgb="FF000000"/>
        <rFont val="Times New Roman"/>
        <family val="1"/>
        <charset val="186"/>
      </rPr>
      <t>, proc.</t>
    </r>
  </si>
  <si>
    <t xml:space="preserve">11,6
(2010–2012 m.)
</t>
  </si>
  <si>
    <t>[11,6–12,5] (blogai)</t>
  </si>
  <si>
    <t>(1882,53–2461,77) (gerai)</t>
  </si>
  <si>
    <t>(1592,91–1882,53] (patenkinamai)</t>
  </si>
  <si>
    <t>[0–1592,91] (blogai)</t>
  </si>
  <si>
    <t>(25,5–30) (gerai)</t>
  </si>
  <si>
    <t>(23,5–25,5] (patenkinamai)</t>
  </si>
  <si>
    <t>[0–23,5] (blogai)</t>
  </si>
  <si>
    <t>(250–500) (gerai)</t>
  </si>
  <si>
    <t>(125–250] (patenkinamai)</t>
  </si>
  <si>
    <t>[0–125] (blogai)</t>
  </si>
  <si>
    <t>[57–0] (labai gerai)</t>
  </si>
  <si>
    <t>(59–57) (gerai)</t>
  </si>
  <si>
    <t>(60,18–59] (patenkinamai)</t>
  </si>
  <si>
    <t>[100–60,18] (blogai)</t>
  </si>
  <si>
    <t>[0,85–0] (labai gerai)</t>
  </si>
  <si>
    <t>(0,95–0,85) (gerai)</t>
  </si>
  <si>
    <t>(1,12–0,95] (patenkinamai)</t>
  </si>
  <si>
    <t>[1–0] (labai gerai)</t>
  </si>
  <si>
    <t>(1,18–1) (gerai)</t>
  </si>
  <si>
    <t>(1,36–1,18] (patenkinamai)</t>
  </si>
  <si>
    <t>(0,062–0,056) (gerai)</t>
  </si>
  <si>
    <t>(0,067–0,062] (patenkinamai)</t>
  </si>
  <si>
    <t>(1111–1350] (patenkinamai)</t>
  </si>
  <si>
    <t>[0–1111] (blogai)</t>
  </si>
  <si>
    <t>(0,23–0,26] (patenkinamai)</t>
  </si>
  <si>
    <t>[0–0,23] (blogai)</t>
  </si>
  <si>
    <t>(260–290) (gerai)</t>
  </si>
  <si>
    <t>(223–260] (patenkinamai)</t>
  </si>
  <si>
    <t>[0–223] (blogai)</t>
  </si>
  <si>
    <t>[200–0] (labai gerai)</t>
  </si>
  <si>
    <t>(300–200) (gerai)</t>
  </si>
  <si>
    <t>[380–300] (patenkinamai)</t>
  </si>
  <si>
    <t>Rodiklį „Renovuotų geresnei energijos vartojimo klasei priskiriamų savivaldybėms priklausančių viešųjų pastatų skaičius, vienetais“ 2014–2020 m. ES struktūrinės paramos laikotarpiu planuoja skaičiuoti LR Aplinkos ministerija. Tai vienas iš 2014–2020 metų nacionalinės pažangos programos horizontaliojo prioriteto „Regioninė plėtra“ tarpinstitucinio veiklos plano įgyvendinimo stebėsenos kriterijų.
Kriterijaus reikšmės, bus nustatytos, kai bus gauti pirmieji rodiklio „Renovuotų geresnei energijos vartojimo klasei priskiriamų savivaldybėms priklausančių viešųjų pastatų skaičius, vienetais“ duomenys.</t>
  </si>
  <si>
    <t>(3600–7000) (gerai)</t>
  </si>
  <si>
    <t>(1900–3600] (patenkinamai)</t>
  </si>
  <si>
    <t>[0–1900] (blogai)</t>
  </si>
  <si>
    <t xml:space="preserve">Rodiklį „Renovuotų geresnei energijos vartojimo klasei priskiriamų savivaldybėms priklausančių viešųjų pastatų skaičius, vienetais“ 2014–2020 m. ES struktūrinės paramos laikotarpiu planuoja skaičiuoti LR Aplinkos ministerija. Tai vienas iš 2014–2020 metų nacionalinės pažangos programos horizontaliojo prioriteto „Regioninė plėtra“ tarpinstitucinio veiklos plano įgyvendinimo stebėsenos kriterijų.
Kriterijaus reikšmės, bus nustatytos, kai bus gauti pirmieji rodiklio „Renovuotų geresnei energijos vartojimo klasei priskiriamų savivaldybėms priklausančių viešųjų pastatų skaičius, vienetais“ duomenys.
</t>
  </si>
  <si>
    <t>[12–0] (labai gerai)</t>
  </si>
  <si>
    <t>(13,5–12) (gerai)</t>
  </si>
  <si>
    <t>(15–13,5] (patenkinamai)</t>
  </si>
  <si>
    <t>[100–15] (blogai)</t>
  </si>
  <si>
    <t>[ 7–8] (labai gerai)</t>
  </si>
  <si>
    <t>(6–7) (gerai)</t>
  </si>
  <si>
    <t>(5,74–6] (patenkinamai)</t>
  </si>
  <si>
    <t>[0–5,74] (blogai)</t>
  </si>
  <si>
    <t>(200–260) (gerai)</t>
  </si>
  <si>
    <t>(120–200] (patenkinamai)</t>
  </si>
  <si>
    <t>[0–110] (blogai)</t>
  </si>
  <si>
    <t>(46,8–47,2] (patenkinamai)</t>
  </si>
  <si>
    <t>[46,5–46,8] (blogai)</t>
  </si>
  <si>
    <t>(700–750) (gerai)</t>
  </si>
  <si>
    <t>(659–700] (patenkinamai)</t>
  </si>
  <si>
    <t>[0–659] (blogai)</t>
  </si>
  <si>
    <t>(180 704–200 000] (patenkinamai)</t>
  </si>
  <si>
    <t>[0–180 704] (blogai)</t>
  </si>
  <si>
    <t>[20–30] (labai gerai)</t>
  </si>
  <si>
    <t>(10–20) (gerai)</t>
  </si>
  <si>
    <t>(5,6–4,5] (patenkinamai)</t>
  </si>
  <si>
    <t>(26–50) (gerai)</t>
  </si>
  <si>
    <t>(13–26] (patenkinamai)</t>
  </si>
  <si>
    <t>[0–13] (blogai)</t>
  </si>
  <si>
    <t>(17–20) (gerai)</t>
  </si>
  <si>
    <t>(15,68–17] (patenkinamai)</t>
  </si>
  <si>
    <t>[15–15,68] (blogai)</t>
  </si>
  <si>
    <t>(5–10) (gerai)</t>
  </si>
  <si>
    <t>(3–5] (patenkinamai)</t>
  </si>
  <si>
    <t>[0–3] (blogai)</t>
  </si>
  <si>
    <t>(250–200) (gerai)</t>
  </si>
  <si>
    <t>(354,9–250] (patenkinamai)</t>
  </si>
  <si>
    <t>[0,01–0] (labai gerai)</t>
  </si>
  <si>
    <t>(0,03–0,01) (gerai)</t>
  </si>
  <si>
    <t>(0,06–0,03] (patenkinamai)</t>
  </si>
  <si>
    <t>[100–0,06] (blogai)</t>
  </si>
  <si>
    <t>(50–100] (patenkinamai)</t>
  </si>
  <si>
    <t>[0–50] (blogai)</t>
  </si>
  <si>
    <t>(150–250] (patenkinamai)</t>
  </si>
  <si>
    <t>[0–150] (blogai)</t>
  </si>
  <si>
    <t>(22–43) (gerai)</t>
  </si>
  <si>
    <t>(11–22] (patenkinamai)</t>
  </si>
  <si>
    <t>[0–11] (blogai)</t>
  </si>
  <si>
    <t>(15–29] (patenkinamai)</t>
  </si>
  <si>
    <t>[0–15] (blogai)</t>
  </si>
  <si>
    <t xml:space="preserve">380
(2013–2014 m.)
</t>
  </si>
  <si>
    <t>Pradinė reikšmė (2010–2014 m.)</t>
  </si>
  <si>
    <t>[2461,77–+∞) (labai gerai)</t>
  </si>
  <si>
    <t>[30–+∞) (labai gerai)</t>
  </si>
  <si>
    <t>[500–+∞) (labai gerai)</t>
  </si>
  <si>
    <t>(+∞–1,12] (blogai)</t>
  </si>
  <si>
    <t>( +∞–1,36] (blogai)</t>
  </si>
  <si>
    <t>(+∞–0,067] (blogai)</t>
  </si>
  <si>
    <t>[0,056–0] (labai gerai)</t>
  </si>
  <si>
    <t>[290–+∞) (labai gerai)</t>
  </si>
  <si>
    <t>[10–+∞) (labai gerai)</t>
  </si>
  <si>
    <t>(+∞–380] (blogai)</t>
  </si>
  <si>
    <t>[7000–+∞) (labai gerai)</t>
  </si>
  <si>
    <t>[ 260–+∞) (labai gerai)</t>
  </si>
  <si>
    <t>[750–+∞) (labai gerai)</t>
  </si>
  <si>
    <t>(+∞–5,6] (blogai)</t>
  </si>
  <si>
    <t>[50–+∞) (labai gerai)</t>
  </si>
  <si>
    <t>(+∞–354,9] (blogai)</t>
  </si>
  <si>
    <t>[43–+∞) (labai gerai)</t>
  </si>
  <si>
    <t>a</t>
  </si>
  <si>
    <t>b</t>
  </si>
  <si>
    <t>c</t>
  </si>
  <si>
    <t>(98,16;98,5)</t>
  </si>
  <si>
    <t>(98,5;98,8)</t>
  </si>
  <si>
    <t>(98,8;99,1)</t>
  </si>
  <si>
    <t>(99,1;99,4)</t>
  </si>
  <si>
    <t>(99,4;99,7)</t>
  </si>
  <si>
    <t>(99,7;100)</t>
  </si>
  <si>
    <t>(0;98,16)</t>
  </si>
  <si>
    <t>(0;98,5)</t>
  </si>
  <si>
    <t>(0;98,8)</t>
  </si>
  <si>
    <t>(0;99,1)</t>
  </si>
  <si>
    <t>(0;99,4)</t>
  </si>
  <si>
    <t>(0;99,7)</t>
  </si>
  <si>
    <t>(0; 10,83)</t>
  </si>
  <si>
    <t>(81,4;100)</t>
  </si>
  <si>
    <t>(81,7;100)</t>
  </si>
  <si>
    <t>(82;100)</t>
  </si>
  <si>
    <t>(81,1;81,4)</t>
  </si>
  <si>
    <t>(81,4;81,7)</t>
  </si>
  <si>
    <t>(81,7;82)</t>
  </si>
  <si>
    <t>(0;81,1)</t>
  </si>
  <si>
    <t>(0;81,4)</t>
  </si>
  <si>
    <t>(0;81,7)</t>
  </si>
  <si>
    <t>(0;82)</t>
  </si>
  <si>
    <t>(457;498)</t>
  </si>
  <si>
    <t>(498;539)</t>
  </si>
  <si>
    <t>(539;580)</t>
  </si>
  <si>
    <t>(0;457)</t>
  </si>
  <si>
    <t>(0;498)</t>
  </si>
  <si>
    <t>(0;539)</t>
  </si>
  <si>
    <t>(0;580)</t>
  </si>
  <si>
    <t>(498;+∞)</t>
  </si>
  <si>
    <t>(539;+∞)</t>
  </si>
  <si>
    <t>(580+∞)</t>
  </si>
  <si>
    <t>(700;+∞)</t>
  </si>
  <si>
    <t>18–24 m. amžiaus jaunimo, kuris neturi vidurinio išsilavinimo ir niekur nesimoko Kauno regione, dalis (proc.)</t>
  </si>
  <si>
    <t>(6,1;0)</t>
  </si>
  <si>
    <t>(5,9;0)</t>
  </si>
  <si>
    <t>(5,7;0)</t>
  </si>
  <si>
    <t>(5,2;0)</t>
  </si>
  <si>
    <t>(5;0)</t>
  </si>
  <si>
    <t>(6,3;6,1)</t>
  </si>
  <si>
    <t>(6,1;5,9)</t>
  </si>
  <si>
    <t>(5,9;5,7)</t>
  </si>
  <si>
    <t>(5,2;5)</t>
  </si>
  <si>
    <t>(45,49; 46,34)</t>
  </si>
  <si>
    <t>(41,81;42,57)</t>
  </si>
  <si>
    <t>(42,57;43,33)</t>
  </si>
  <si>
    <t>(44,84;45,59)</t>
  </si>
  <si>
    <t>(44,08;44,84)</t>
  </si>
  <si>
    <t>(43,33;44,08)</t>
  </si>
  <si>
    <t>Vidutinė gyvenimo trukmė Kauno regione, metai</t>
  </si>
  <si>
    <t>(75,33;75,6)</t>
  </si>
  <si>
    <t>(75,6;75,9)</t>
  </si>
  <si>
    <t>(75,9;76,2)</t>
  </si>
  <si>
    <t>(76,2;76,5)</t>
  </si>
  <si>
    <t>(76,5;76,7)</t>
  </si>
  <si>
    <t>(76,7;77)</t>
  </si>
  <si>
    <t>(0;75,33)</t>
  </si>
  <si>
    <t>(0;75,6)</t>
  </si>
  <si>
    <t>(0;75,9)</t>
  </si>
  <si>
    <t>(0;76,2)</t>
  </si>
  <si>
    <t>(0;76,5)</t>
  </si>
  <si>
    <t>(0;76,7)</t>
  </si>
  <si>
    <t>(2670;0)</t>
  </si>
  <si>
    <t>(2536;0)</t>
  </si>
  <si>
    <t>(2402;0)</t>
  </si>
  <si>
    <t>(2134;0)</t>
  </si>
  <si>
    <t>(2000;0)</t>
  </si>
  <si>
    <t>(2804;2670)</t>
  </si>
  <si>
    <t>(2670;2536)</t>
  </si>
  <si>
    <t>(2536;2402)</t>
  </si>
  <si>
    <t>(2134;2000)</t>
  </si>
  <si>
    <t>(75,6;+∞)</t>
  </si>
  <si>
    <t>(75,9;+∞)</t>
  </si>
  <si>
    <t>(76,2;+∞)</t>
  </si>
  <si>
    <t>(76,5;+∞)</t>
  </si>
  <si>
    <t>(76,7;+∞)</t>
  </si>
  <si>
    <t>(77;+∞)</t>
  </si>
  <si>
    <t>(6,35;6,0)</t>
  </si>
  <si>
    <t>(6,0;5,73)</t>
  </si>
  <si>
    <t>(5,73;5,42)</t>
  </si>
  <si>
    <t>(15,2;21)</t>
  </si>
  <si>
    <t>(21;26,8)</t>
  </si>
  <si>
    <t>(26,8;32,6)</t>
  </si>
  <si>
    <t>(0;15,2)</t>
  </si>
  <si>
    <t>(0;21)</t>
  </si>
  <si>
    <t>(0;26)</t>
  </si>
  <si>
    <t>(0;32,6)</t>
  </si>
  <si>
    <t>(21;+∞)</t>
  </si>
  <si>
    <t>(26,8;+∞)</t>
  </si>
  <si>
    <t>(32,6;+∞)</t>
  </si>
  <si>
    <t>(50;+∞)</t>
  </si>
  <si>
    <t>Savivaldybių, turinčių galiojančius savivaldybių teritorijų planavimo dokumentus skaičius</t>
  </si>
  <si>
    <r>
      <t>Kelių su danga ilgis</t>
    </r>
    <r>
      <rPr>
        <sz val="11"/>
        <color theme="1"/>
        <rFont val="Times New Roman"/>
        <family val="1"/>
        <charset val="186"/>
      </rPr>
      <t xml:space="preserve"> nuo visų kelių ilgio Kauno regione</t>
    </r>
    <r>
      <rPr>
        <sz val="11"/>
        <color rgb="FF000000"/>
        <rFont val="Times New Roman"/>
        <family val="1"/>
        <charset val="186"/>
      </rPr>
      <t xml:space="preserve">, proc. </t>
    </r>
  </si>
  <si>
    <t>(2561,40;2617,01)</t>
  </si>
  <si>
    <t>(2617,01;2672,61)</t>
  </si>
  <si>
    <t>(2672,61;2728,22)</t>
  </si>
  <si>
    <t>(2728,22;2783,83)</t>
  </si>
  <si>
    <t>(12,8;14)</t>
  </si>
  <si>
    <t>(11,6;12,8)</t>
  </si>
  <si>
    <t>(2505,79;2561,40)</t>
  </si>
  <si>
    <t>Materialinės investicijos tenkančios vienam gyventojui Kauno apskrityje, Eur.</t>
  </si>
  <si>
    <t>(1303,00;1468,66)</t>
  </si>
  <si>
    <t>(1468,66;1634,33)</t>
  </si>
  <si>
    <t>(1634,33;1799,99)</t>
  </si>
  <si>
    <t>(1799,99;1965,65)</t>
  </si>
  <si>
    <t>(1965,65;2131,31)</t>
  </si>
  <si>
    <t>(22,8;24)</t>
  </si>
  <si>
    <t>(24;25,2)</t>
  </si>
  <si>
    <t>(25,2;26,4)</t>
  </si>
  <si>
    <t>(21,56;22,8)</t>
  </si>
  <si>
    <t>(71;142)</t>
  </si>
  <si>
    <t>(142;213)</t>
  </si>
  <si>
    <t>(0;71)</t>
  </si>
  <si>
    <t>(60,18;59,7)</t>
  </si>
  <si>
    <t>(59,7;59,2)</t>
  </si>
  <si>
    <t>(59,2;58,7)</t>
  </si>
  <si>
    <t>(58,7;58,2)</t>
  </si>
  <si>
    <t>(58,2;57,7)</t>
  </si>
  <si>
    <t>(20,93;21,3)</t>
  </si>
  <si>
    <t>(21,3;21,7)</t>
  </si>
  <si>
    <t>(21,7;22,1)</t>
  </si>
  <si>
    <t>(1,12;1,08)</t>
  </si>
  <si>
    <t>(1,08;1,04)</t>
  </si>
  <si>
    <t>(1,04;1)</t>
  </si>
  <si>
    <t>(1;0,96)</t>
  </si>
  <si>
    <t>(0,96;0,92)</t>
  </si>
  <si>
    <t>(1,36;1,3)</t>
  </si>
  <si>
    <t>(1,3;1,25)</t>
  </si>
  <si>
    <t>(1,25;1,2)</t>
  </si>
  <si>
    <t>(1,2;1,15)</t>
  </si>
  <si>
    <t>(1,15;1,1)</t>
  </si>
  <si>
    <t>(0,067;0,065)</t>
  </si>
  <si>
    <t>(0,065;0,063)</t>
  </si>
  <si>
    <t>(0,063;0,061)</t>
  </si>
  <si>
    <t>(0,061;0,059)</t>
  </si>
  <si>
    <t>(0,059;0,058)</t>
  </si>
  <si>
    <t>(0,23;0,24)</t>
  </si>
  <si>
    <t>1.4.2-r-1</t>
  </si>
  <si>
    <t>(223;233)</t>
  </si>
  <si>
    <t>(243;253)</t>
  </si>
  <si>
    <t>(0;1)</t>
  </si>
  <si>
    <t>(380;354)</t>
  </si>
  <si>
    <t>(354;328)</t>
  </si>
  <si>
    <t>(+∞;380)</t>
  </si>
  <si>
    <t>(328;302)</t>
  </si>
  <si>
    <t>(302;276)</t>
  </si>
  <si>
    <t>(276;250)</t>
  </si>
  <si>
    <t>(0;1000)</t>
  </si>
  <si>
    <t>(1000;2000)</t>
  </si>
  <si>
    <t>(2000;3000)</t>
  </si>
  <si>
    <t>(3000;4000)</t>
  </si>
  <si>
    <t>(4000;5000)</t>
  </si>
  <si>
    <t>(14,6;14,2)</t>
  </si>
  <si>
    <t>(0;15)</t>
  </si>
  <si>
    <t>(14,2;13,8)</t>
  </si>
  <si>
    <t>Socialines paslaugas į namus gavusių asmenų skaičius Kauno regione</t>
  </si>
  <si>
    <t>(5,74;5,9)</t>
  </si>
  <si>
    <t>(5,9;6,1)</t>
  </si>
  <si>
    <t>(0;5,74)</t>
  </si>
  <si>
    <t>(6,1;6,3)</t>
  </si>
  <si>
    <t>(6,3;6,5)</t>
  </si>
  <si>
    <t>(6,5;6,7)</t>
  </si>
  <si>
    <t>(0;37)</t>
  </si>
  <si>
    <t>(37;74)</t>
  </si>
  <si>
    <t>(74;111)</t>
  </si>
  <si>
    <t>(111;148)</t>
  </si>
  <si>
    <t>(148;185)</t>
  </si>
  <si>
    <t>(0;46,5)</t>
  </si>
  <si>
    <t>(659;672)</t>
  </si>
  <si>
    <t>(0;659)</t>
  </si>
  <si>
    <t>(672;685)</t>
  </si>
  <si>
    <t>(685;698)</t>
  </si>
  <si>
    <t>(698;711)</t>
  </si>
  <si>
    <t>(711;724)</t>
  </si>
  <si>
    <t>(0;180704)</t>
  </si>
  <si>
    <t>(0;3)</t>
  </si>
  <si>
    <t>(3;6)</t>
  </si>
  <si>
    <t>(6;9)</t>
  </si>
  <si>
    <t>(9;12)</t>
  </si>
  <si>
    <t>(12;15)</t>
  </si>
  <si>
    <t>(5,6;5,2)</t>
  </si>
  <si>
    <t>(5,2;4,8)</t>
  </si>
  <si>
    <t>(4,8;4,4)</t>
  </si>
  <si>
    <t>(0;7)</t>
  </si>
  <si>
    <t>(7;14)</t>
  </si>
  <si>
    <t>(14;21)</t>
  </si>
  <si>
    <t>(21;28)</t>
  </si>
  <si>
    <t>(28;35)</t>
  </si>
  <si>
    <t>(15,68;16,3)</t>
  </si>
  <si>
    <t>(0;15,68)</t>
  </si>
  <si>
    <t>(16,3;16,9)</t>
  </si>
  <si>
    <t>(16,9;17,5)</t>
  </si>
  <si>
    <t>(19,3;20)</t>
  </si>
  <si>
    <t>(1;2)</t>
  </si>
  <si>
    <t>(2;4)</t>
  </si>
  <si>
    <t>(4;5)</t>
  </si>
  <si>
    <t>(5;7)</t>
  </si>
  <si>
    <t>(354,9;333)</t>
  </si>
  <si>
    <t>(+∞;354,9)</t>
  </si>
  <si>
    <t>(333;311)</t>
  </si>
  <si>
    <t>(311;289)</t>
  </si>
  <si>
    <t>(289;267)</t>
  </si>
  <si>
    <t>(267;245)</t>
  </si>
  <si>
    <t>(0,06;0,05)</t>
  </si>
  <si>
    <t>(+∞;0,06)</t>
  </si>
  <si>
    <t>(0,05;0,04)</t>
  </si>
  <si>
    <t>(0,04;0,03)</t>
  </si>
  <si>
    <t>(21;42)</t>
  </si>
  <si>
    <t>(0;45)</t>
  </si>
  <si>
    <t>(45;90)</t>
  </si>
  <si>
    <t>Ekologiško transporto dalis nuo viso viešojo transporto parko</t>
  </si>
  <si>
    <t>(0;6)</t>
  </si>
  <si>
    <t>(6;12)</t>
  </si>
  <si>
    <t>(12;18)</t>
  </si>
  <si>
    <t>(0;8)</t>
  </si>
  <si>
    <t>(8;16)</t>
  </si>
  <si>
    <t>(2;3)</t>
  </si>
  <si>
    <t>Atnaujinta gyvenamųjų vietovių (vnt.)</t>
  </si>
  <si>
    <t>P.B.209</t>
  </si>
  <si>
    <t>Numatomo apsilankymų remiamuose kultūros ir gamtos paveldo objektuose bei turistų traukos vietose skaičiaus padidėjimas  (apsilankymai per metus)</t>
  </si>
  <si>
    <t>P.B.214</t>
  </si>
  <si>
    <t>Bendras rekonstruotų arba atnaujintų kelių ilgis (km)</t>
  </si>
  <si>
    <t>P.B.236</t>
  </si>
  <si>
    <t>Gyventojai, turintys galimybę pasinaudoti pagerintomis sveikatos priežiūros paslaugomis (asmenys)</t>
  </si>
  <si>
    <t>P.B.238</t>
  </si>
  <si>
    <t>Sukurtos arba atnaujintos atviros erdvės miestų vietovėse</t>
  </si>
  <si>
    <t>P.B.239</t>
  </si>
  <si>
    <t>Pastatyti arba atnaujinti viešieji arba komerciniai pastatai miestų vietovėse,  m2</t>
  </si>
  <si>
    <t>P.N.011</t>
  </si>
  <si>
    <t>Nuotekų valymo įrenginių rekonstrukcija ir (ar) nauja statyba</t>
  </si>
  <si>
    <t>P.N.050</t>
  </si>
  <si>
    <t>Gyventojai, kuriems teikiamos vandens tiekimo paslaugos naujai pastatytais geriamojo vandens tiekimo tinklais(skaičius)</t>
  </si>
  <si>
    <t>P.N.051</t>
  </si>
  <si>
    <t>Gyventojai, kuriems teikiamos vandens tiekimo paslaugos iš naujai pastatytų ir (arba) rekonstruotų geriamojo vandens gerinimo įrenginių (skaičius)</t>
  </si>
  <si>
    <t>P.N.053</t>
  </si>
  <si>
    <t>Gyventojai, kuriems teikiamos vandens tiekimo paslaugos naujai pastatytais nuotekų surinkimo tinklais</t>
  </si>
  <si>
    <t>P.N.054</t>
  </si>
  <si>
    <t>Gyventojai, kuriems teikiamos nuotekų valymo paslaugos naujai pastatytais ir (arba) rekonstruotais nuotekų valymo įrenginiais</t>
  </si>
  <si>
    <t>P.N.071</t>
  </si>
  <si>
    <t>Įgyvendintos visuomenės informavimo apie aplinką priemonės Skč.</t>
  </si>
  <si>
    <t>P.N.092</t>
  </si>
  <si>
    <t>Kraštovaizdžio ir (ar) gamtinio karkaso formavimo aspektais pakeisti ar pakoreguoti savivaldybių ar jų dalių bendrieji planai</t>
  </si>
  <si>
    <t>P.N.093</t>
  </si>
  <si>
    <t>Likviduoti kraštovaizdį darkantys bešeimininkiai apleisti statiniai ir įrenginiai (Skaičius)</t>
  </si>
  <si>
    <t>P.N.304</t>
  </si>
  <si>
    <t>Modernizuoti kultūros infrastruktūros objektai (vnt.)</t>
  </si>
  <si>
    <t>P.N.601</t>
  </si>
  <si>
    <t>Pacientai, kuriems pagerinta paslaugų kokybė ir prieinamumas (asmenys)</t>
  </si>
  <si>
    <t>P.N.602</t>
  </si>
  <si>
    <t>Apmokytų sveikatos ir kitų specialistų skaičius</t>
  </si>
  <si>
    <t>P.N.603</t>
  </si>
  <si>
    <t>Parengtų metodikų, tvarkų ir kt. dokumentų skaičius</t>
  </si>
  <si>
    <t>P.N.604</t>
  </si>
  <si>
    <t>Tuberkulioze sergantys pacientai, kuriems buvo suteiktos socialinės paramos priemonės (maisto talonų dalijimas ir kelionės išlaidų kompensavimas) tuberkuliozės ambulatorinio gydymo metu</t>
  </si>
  <si>
    <t>P.N.717</t>
  </si>
  <si>
    <t>Pagal veiksmų programą ERPF lėšomis atnaujintos ikimokyklinio ugdymo mokyklos (vnt.)</t>
  </si>
  <si>
    <t xml:space="preserve">P.N.722 </t>
  </si>
  <si>
    <t>Pagal veiksmų programą ERPF lėšomis atnaujintos bendrojo ugdymo mokyklos  (vnt.)</t>
  </si>
  <si>
    <t xml:space="preserve">P.N.723 </t>
  </si>
  <si>
    <t>Pagal veiksmų programą ERPF lėšomis atnaujintos neformaliojo įstaigos (vnt.)</t>
  </si>
  <si>
    <t>P.N.915</t>
  </si>
  <si>
    <t>Viešojo valdymo institucijos, veiksmų programos lėšomis įgyvendinusios paslaugų ir aptarnavimo kokybės gerinimo priemones, Skč.</t>
  </si>
  <si>
    <t>P.S.321</t>
  </si>
  <si>
    <t>Įrengtų ar rekonstruotų dviračių ir/ar pėsčiųjų takų ir/ar trasų ilgis (km)</t>
  </si>
  <si>
    <t>P.S.322</t>
  </si>
  <si>
    <t>Rekonstruotų dviračių ir / ar pėsčiųjų takų ir / ar trasų ilgis, km</t>
  </si>
  <si>
    <t>P.S.323</t>
  </si>
  <si>
    <t>Įgyvendintos darnaus judumo priemonės (vnt.)</t>
  </si>
  <si>
    <t>P.S.325</t>
  </si>
  <si>
    <t>Įsigytos naujos ekologiškos viešojo transporto priemonės (vnt.)</t>
  </si>
  <si>
    <t>P.S.328</t>
  </si>
  <si>
    <t>Lietaus nuotėkio plotas, iš kurio surenkamam paviršiniam (lietaus) vandeniui tvarkyti, įrengta ir (ar) rekonstruota infrastruktūra, ha</t>
  </si>
  <si>
    <t>P.S.329</t>
  </si>
  <si>
    <t>Sukurti/pagerinti atskiro komunalinių atliekų surinkimo pajėgumai (tonos/metai)</t>
  </si>
  <si>
    <t>P.S.333</t>
  </si>
  <si>
    <t>Rekonstruotų vandens tiekimo ir nuotekų  surinkimo tinklų ilgis (km)</t>
  </si>
  <si>
    <t>P.S.335</t>
  </si>
  <si>
    <t>Sutvarkyti, įrengti ir pritaikyti lankymui gamtos ir kultūros paveldo objektai ir teritorijos</t>
  </si>
  <si>
    <t>P.S.338</t>
  </si>
  <si>
    <t>Išsaugoti, sutvarkyti ar atkurti įvairaus teritorinio lygmens kraštovaizdžio arealai (skaičius)</t>
  </si>
  <si>
    <t>P.S.342</t>
  </si>
  <si>
    <t>Įdiegtos saugų eismą gerinančios ir aplinkosaugos priemonės</t>
  </si>
  <si>
    <t>P.S.361</t>
  </si>
  <si>
    <t>Investicijas gavę socialinių paslaugų infrastruktūros objektai (vnt.)</t>
  </si>
  <si>
    <t>P.S.362</t>
  </si>
  <si>
    <t>Naujai įrengti ar įsigyti socialiniai būstai (Skaičius)</t>
  </si>
  <si>
    <t>P.S.364</t>
  </si>
  <si>
    <r>
      <t>Naujos atviros erdvės (vietovėse nuo 1 iki 6 tūkst. gyv. išskyrus savivaldybių centrus) (m</t>
    </r>
    <r>
      <rPr>
        <vertAlign val="superscript"/>
        <sz val="10"/>
        <color indexed="63"/>
        <rFont val="Times New Roman"/>
        <family val="1"/>
      </rPr>
      <t>2</t>
    </r>
    <r>
      <rPr>
        <sz val="10"/>
        <color indexed="63"/>
        <rFont val="Times New Roman"/>
        <family val="1"/>
      </rPr>
      <t>)</t>
    </r>
  </si>
  <si>
    <t>P.S.365</t>
  </si>
  <si>
    <t>Atnaujinti ir pritaikyti naujai paskirčiai pastatai ir statiniai kaimo vietovėse (vietovėse nuo 1 iki 6 tūkst. gyv. išskyrus savivaldybių centrus) (m2)</t>
  </si>
  <si>
    <t>P.S.371</t>
  </si>
  <si>
    <t>Savivaldybės, kuriose įdiegti inovatyvūs viešųjų asmens ir visuomenės sveikatos priežiūros paslaugų teikimo modeliai, pagerinantys sveikatos priežiūros paslaugų prieinamumą tikslinėms gyventojų grupėms (skaičius)</t>
  </si>
  <si>
    <t xml:space="preserve">P.S.379 </t>
  </si>
  <si>
    <t xml:space="preserve">Švietimo ir kitų švietimo teikėjų įstaigos, kuriose pagal veiksmų programą ERPF lėšomis sukurta ar atnaujinta ne mažiau nei viena edukacinė erdvė </t>
  </si>
  <si>
    <t>P.S.415</t>
  </si>
  <si>
    <t>Viešojo valdymo institucijos, pagal programą  ESF lėšomis įgyvendinusios paslaugų ir (ar) aptarnavimo kokybei gerinti skirtas priemones, Skaičius</t>
  </si>
  <si>
    <t>P.S.416</t>
  </si>
  <si>
    <t>Viešojo valdymo institucijų darbuotojai, kurie dalyvavo pagal programą ESF lėšomis vykdytose veiklose, skirtose stiprinti teikiamų paslaugų ir (ar) aptarnavimo kokybės gerinimui reikalingas kompetencijas (vnt.)</t>
  </si>
  <si>
    <t>R.N.655</t>
  </si>
  <si>
    <t>R.N.091</t>
  </si>
  <si>
    <t>Teritorijų, kuriose įgyvendintos kraštovaizdžio formavimo priemonės, plotas, ha</t>
  </si>
  <si>
    <t>R.N.403</t>
  </si>
  <si>
    <t>Tikslinių grupių asmenys, gavę tiesioginės naudos iš investicijų į socialinių paslaugų infrastruktūrą</t>
  </si>
  <si>
    <t>P.B.232</t>
  </si>
  <si>
    <t>Metinis pirminės energijos suvartojimo viešuosiuose pastatuose sumažėjimas (kWh/per metus)</t>
  </si>
  <si>
    <t>P.S.372</t>
  </si>
  <si>
    <t>Tikslinių grupių asmenys, kurie dalyvavo informavimo, švietimo ir mokymo renginiuose bei sveikatos raštingumą didinančiose veiklose</t>
  </si>
  <si>
    <t>P.S.363</t>
  </si>
  <si>
    <t>Viešąsias sveikatos priežiūros paslaugas teikiančių įstaigų, kuriose pagerinta paslaugų teikimo infrastruktūra, skaičius</t>
  </si>
  <si>
    <t>P.S.339</t>
  </si>
  <si>
    <t>Įsigyti gatvių valymo įrenginiai (vnt)</t>
  </si>
  <si>
    <t>P.B.219</t>
  </si>
  <si>
    <t>Papildomi gyventojai, kuriems teikiamos pagerintos nuotekų tvarkymo paslaugos (asm.)</t>
  </si>
  <si>
    <t>P.S.319</t>
  </si>
  <si>
    <t>Modernizuoti centralizuoto šilumos tiekimo tinklai (km)</t>
  </si>
  <si>
    <t>P.B.230</t>
  </si>
  <si>
    <t>Papildomi atsinaujinančių išteklių energijos gamybos pajėgumai</t>
  </si>
  <si>
    <t>P.B.235</t>
  </si>
  <si>
    <t>Investicijas gavusios vaikų priežiūros arba švietimo infrastruktūros pajėgumas</t>
  </si>
  <si>
    <t>P.B.231</t>
  </si>
  <si>
    <t>Namų ūkių, priskirtų geresnei energijos vartojimo efektyvumo klasei, skaičius</t>
  </si>
  <si>
    <t>Šilumos vartotojai, kuriems šiluma tiekiama patikimiau ir pagerėjo tiekimo kokybė.</t>
  </si>
  <si>
    <t>Sugaištas kelionės automobilių keliais (išskyrus TEN-T kelius) laikas mln. val.</t>
  </si>
  <si>
    <t>P.N.508</t>
  </si>
  <si>
    <t>Bendras naujai nutiestų kelių ilgis (km)</t>
  </si>
  <si>
    <t>P.N.817</t>
  </si>
  <si>
    <t xml:space="preserve">Įrengti ženklinimo infrastruktūros objektai </t>
  </si>
  <si>
    <t>P.N.910</t>
  </si>
  <si>
    <t>Parengtos piliečių chartijos</t>
  </si>
  <si>
    <t>R.N.909</t>
  </si>
  <si>
    <t>Viešojo valdymo institucijos, pagal programą  ESF lėšomis įgyvendinusios paslaugų ir (ar) aptarnavimo kokybei gerinti skirtas priemones, skaičius</t>
  </si>
  <si>
    <t>R.N.404</t>
  </si>
  <si>
    <t>Investicijas gavusiose įstaigose esančios vietos socialinių paslaugų gavėjams</t>
  </si>
  <si>
    <t>P.N.028</t>
  </si>
  <si>
    <t>Esamų paviršinių nuotekų tvarkymo sistemų inventorizacija, proc.</t>
  </si>
  <si>
    <t>P.N.097</t>
  </si>
  <si>
    <t>Parengti aplinkos oro kokybės valdymo priemonių planai</t>
  </si>
  <si>
    <t>P.N.098</t>
  </si>
  <si>
    <t>Įvykdytos visuomenės informavimo apie aplinkos oro kokybės gerinimą kampanijos</t>
  </si>
  <si>
    <t>P.B.222</t>
  </si>
  <si>
    <t>Bendras rekultivuotos žemės plotas (ha)</t>
  </si>
  <si>
    <t>P.N.096</t>
  </si>
  <si>
    <t>Išvalytos ir sutvarkytos praeityje užterštos teritorijos (vnt.)</t>
  </si>
  <si>
    <t>P.N.094</t>
  </si>
  <si>
    <t>Rekultivuotų atvirais kasiniais pažeistų žemių skaičius</t>
  </si>
  <si>
    <t>P.S.380</t>
  </si>
  <si>
    <t>Pagal veiksmų programą ERPF lėšomis sukurtos naujos ikimokyklinio ir priešmokyklinio ugdymo vietos</t>
  </si>
  <si>
    <t>P.N.743</t>
  </si>
  <si>
    <t>Pagal veiksmų programą ERPF lėšomis atnaujintos ikimokyklinio ir/ar priešmokyklinio ugdymo grupės</t>
  </si>
  <si>
    <t>P.N.671</t>
  </si>
  <si>
    <t>Modernizuoti savivaldybių visuomenės sveikatos biurai</t>
  </si>
  <si>
    <t>P.S.324</t>
  </si>
  <si>
    <t>P.S.318</t>
  </si>
  <si>
    <t>Regioninio planavimo būdu įgyvendintų mažos apimties infrastruktūros projektų skaičius</t>
  </si>
  <si>
    <t>Gyventojų, kurie naudojasi geresnėmis paslaugomis / infrastruktūra, skaičius</t>
  </si>
  <si>
    <t>Veiksmų, kuriais remiamos investicijos į mažos apimties infrastruktūrą, skaičius</t>
  </si>
  <si>
    <t>1.1.1.1.</t>
  </si>
  <si>
    <t>P.N.722</t>
  </si>
  <si>
    <t>Suremontuotas stadionas</t>
  </si>
  <si>
    <t>Atnaujintas pastatas</t>
  </si>
  <si>
    <t>Atnaujinta sporto aikštelė</t>
  </si>
  <si>
    <t>Suremontuota sporto salė</t>
  </si>
  <si>
    <t>Įrengta sporto aikštelė</t>
  </si>
  <si>
    <t>Rekontruotas pastatas</t>
  </si>
  <si>
    <t xml:space="preserve">P.B.209 </t>
  </si>
  <si>
    <t xml:space="preserve">P.S.335 </t>
  </si>
  <si>
    <t>R.S.342</t>
  </si>
  <si>
    <t>A</t>
  </si>
  <si>
    <t>A. Regioninis BVP vienam gyventojui, to meto kainomis, palyginti su šalies vidurkiu, proc.</t>
  </si>
  <si>
    <t>Lietuvos statistikos departamentas</t>
  </si>
  <si>
    <t>Rodiklių duomenų bazė</t>
  </si>
  <si>
    <t>Bendrasis vidaus produktas tenkantis vienam gyventojui Kauno apskrityje, tūkst. Eur</t>
  </si>
  <si>
    <t>A. Regioninis BVP vienam gyventojui, to meto kainomis tūkst. Eur.</t>
  </si>
  <si>
    <t>A / B *100</t>
  </si>
  <si>
    <t xml:space="preserve">A. Vietinės reikšmės automobilių kelių su danga ilgis metų pabaigoje, km; </t>
  </si>
  <si>
    <t>B. Vietinės reikšmės automobilių kelių ilgis, km.</t>
  </si>
  <si>
    <t>A / B / 1000</t>
  </si>
  <si>
    <t>A. Apgyvendinta turistų apgyvendinimo įstaigose Kauno apskrityje;</t>
  </si>
  <si>
    <t>B. Kauno apskrities gyventojų skaičius.</t>
  </si>
  <si>
    <t>A. Tiesioginės užsienio investicijos, tenkančios vienam gyventojui Kauno apskrityje, metų pabaigoje, Eur.</t>
  </si>
  <si>
    <t>Įmonės diegiančios inovacijas – technologiniai ir netechnologiniai novatoriai Kauno apskrityje (proc. nuo visų įmonių)</t>
  </si>
  <si>
    <t>A. Įmonės diegusios inovacijas – technologiniai ir netechnologiniai novatoriai Kauno apskrityje palyginti su visomis įmonėmis.</t>
  </si>
  <si>
    <t>A. Materialinės investicijos, tenkančios vienam gyventojui Kauno apskrityje, Eur.</t>
  </si>
  <si>
    <t>A. Veikiančių mažų ir vidutinių įmonių skaičius metų pradžioje;</t>
  </si>
  <si>
    <t>A. Kauno apskrities savivaldybių verslo informacinių centrų aptarnautų unikalių SVV subjektų (fiziniai ir juridiniai asmenys) skaičius per metus</t>
  </si>
  <si>
    <t>Kauno apskrities savivaldybių verslo informaciniai centrai</t>
  </si>
  <si>
    <t>Metinės veiklos ataskaitos, tiesiogiai kreipiantis į duomenis renkančią instituciją ar įstaigą</t>
  </si>
  <si>
    <t>Regioninės plėtros departamento prie Vidaus reikalų ministerijos, Kauno apskrities skyrius</t>
  </si>
  <si>
    <t>Kasmet</t>
  </si>
  <si>
    <t xml:space="preserve">A. Vietinės reikšmės automobilių kelių su patobulinta danga ilgis metų pabaigoje, km; </t>
  </si>
  <si>
    <t>A. Kelių eismo įvykių skaičius;</t>
  </si>
  <si>
    <t>A. Kelių eismo įvykiuose sužeistųjų skaičius;</t>
  </si>
  <si>
    <t>A. Kelių eismo žuvusiųjų sužeistųjų skaičius;</t>
  </si>
  <si>
    <t>A. Suteikta nakvynių apgyvendinimo įstaigose Kauno apskrityje;</t>
  </si>
  <si>
    <t>A. Apgyvendinimo įstaigų skaičius Kauno apskrityje ;</t>
  </si>
  <si>
    <t>A. Lankytojų skaičius Lietuvos turizmo informacijos centruose Kauno apskrityje iš viso, asmenys;</t>
  </si>
  <si>
    <r>
      <t xml:space="preserve">A. Vietinės reikšmės automobilių žvyro kelių ilgis metų pabaigoje; </t>
    </r>
    <r>
      <rPr>
        <sz val="11"/>
        <color theme="1"/>
        <rFont val="Times New Roman"/>
        <family val="1"/>
        <charset val="186"/>
      </rPr>
      <t>Kauno apskrityje,</t>
    </r>
    <r>
      <rPr>
        <sz val="11"/>
        <color rgb="FF000000"/>
        <rFont val="Times New Roman"/>
        <family val="1"/>
        <charset val="186"/>
      </rPr>
      <t xml:space="preserve"> km </t>
    </r>
  </si>
  <si>
    <t>Prioritetas: PAŽANGI EKONOMIKA</t>
  </si>
  <si>
    <t>Prioritetas: GYVENIMO KOKYBĖ</t>
  </si>
  <si>
    <t>Kauno apskrities savivaldybių administracijos</t>
  </si>
  <si>
    <t>SFMIS informacija</t>
  </si>
  <si>
    <t>Tiesiogiai kreipiantis į duomenis renkančią instituciją ar įstaigą</t>
  </si>
  <si>
    <t>A. 18–24 metų jaunimo, neįgijusio vidutinio išsilavinimo ir nesimokančio Kauno apskrityje, dalis.</t>
  </si>
  <si>
    <t>A. Mokyklinio amžiaus vaikai nesimokantys mokykloje dėl socialinių, psichologinių ir kitų priežasčių Kauno apskrityje, asmenys.</t>
  </si>
  <si>
    <t>A / B * 100</t>
  </si>
  <si>
    <t xml:space="preserve">A. Renovuotų geresnei energijos vartojimo klasei priskiriamų savivaldybėms priklausančių viešųjų pastatų skaičius; </t>
  </si>
  <si>
    <t>B. Bendras Kauno regiono savivaldybėms priklausančių viešųjų pastatų skaičius.</t>
  </si>
  <si>
    <t>LR Aplinkos ministerija;</t>
  </si>
  <si>
    <t>2014–2020 metų nacionalinės pažangos programos horizontaliojo prioriteto „Regioninė plėtra“ tarpinstitucinio veiklos plano įgyvendinimo stebėsenos ataskaita;</t>
  </si>
  <si>
    <t>tiesiogiai kreipiantis į duomenis renkančią instituciją ar įstaigą</t>
  </si>
  <si>
    <t>A. Atskirų projektų mokymuose dalyvavusių žmonių Kauno apskrities savivaldybėse skaičius.</t>
  </si>
  <si>
    <t xml:space="preserve">A. Renovuotų geresnei energijos vartojimo klasei priskiriamų savivaldybėms priklausančių neformalaus švietimo įstaigų viešųjų pastatų skaičius; </t>
  </si>
  <si>
    <t>B. Bendras Kauno regiono savivaldybėms priklausančių neformalaus švietimo įstaigų viešųjų pastatų skaičius.</t>
  </si>
  <si>
    <t>A. Išlaidos socialinei pašalpai Kauno apskrityje, tūkst. Eur;</t>
  </si>
  <si>
    <t>Asmenys, gyvenantys namų ūkiuose, susiduriančiuose su ekonominiais sunkumais (dėl pinigų stokos negali laiku sumokėti būsto nuomos, komunalinių mokesčių, būsto ar kitų paskolų, kredito</t>
  </si>
  <si>
    <t>A. Asmenys Kauno apskrityje, gyvenantys namų ūkiuose, susiduriančiuose su ekonominiais sunkumais, proc.</t>
  </si>
  <si>
    <t>A. Socialinių paslaugų gavėjų namuose skaičius iš viso, Kauno apskrityje, asmenys.</t>
  </si>
  <si>
    <t>A. Įrengti nauji ar įsigyti socialiniai būstai, vienetais.</t>
  </si>
  <si>
    <t>A. Vidutinė gyvenimo trukmė Kauno regione, metai.</t>
  </si>
  <si>
    <t>A. Praktikuojančių gydytojų skaičius, tenkantis 10 tūkst. gyv.</t>
  </si>
  <si>
    <t>Renovuotų geresnei energijos vartojimo klasei priskiriamų savivaldybėms priklausančių sveikatos priežiūros įstaigų viešųjų pastatų skaičius nuo bendro savivaldybei priklausančių sveikatos įstaigų viešųjų pastatų skaičiaus</t>
  </si>
  <si>
    <t>A / Bendro Kauno B * 100</t>
  </si>
  <si>
    <t xml:space="preserve">A. Renovuotų geresnei energijos vartojimo klasei priskiriamų savivaldybėms priklausančių sveikatos priežiūros įstaigų viešųjų pastatų skaičius; </t>
  </si>
  <si>
    <t>B. Bendras Kauno regiono savivaldybėms priklausančių sveikatos priežiūros įstaigų viešųjų pastatų skaičius.</t>
  </si>
  <si>
    <t>A Užregistruotų nusikalstamų veikų skaičius Kauno apskrityje tenkantis 100 tūkst. gyventojų Kauno apskrityje.</t>
  </si>
  <si>
    <t>A. Kultūros centrai metų pabaigoje, mėgėjų meno kolektyvų skaičius Kauno apskrityje.</t>
  </si>
  <si>
    <t>A. Sporto varžybų ir sveikatingumo renginių dalyviai metų pabaigoje Kauno apskrityje.</t>
  </si>
  <si>
    <t>A. Naujai įsteigtų bendruomenės namų skaičius Kauno regione.</t>
  </si>
  <si>
    <t>A / B *1000</t>
  </si>
  <si>
    <t>A. Nepilnamečių padarytų nusikalstamų veikų skaičius, Kauno apskrityje;</t>
  </si>
  <si>
    <t>B. 0-18 metų gyventojų skaičius metų pradžioje, Kauno apskrityje, asmenys.</t>
  </si>
  <si>
    <t>A. / B * 100</t>
  </si>
  <si>
    <t>A. Užimtieji žemės ūkio, miškininkystės ir žuvininkystės sektoriuose Kauno apskrityje, tūkst.</t>
  </si>
  <si>
    <t>B. Užimtieji iš viso pagal ekonomines veiklos rūšis, Kauno apskrityje, tūkst..</t>
  </si>
  <si>
    <t>A. Naujai įsikūrusių bendruomenių skaičius kaimo vietovėse Kauno regiono savivaldybėse.</t>
  </si>
  <si>
    <t>A. Ūkių vidutinis dydis pagal žemės ūkio naudmenas Kauno regione, ha</t>
  </si>
  <si>
    <t>VĮ Žemės ūkio informacijos ir kaimo verslo centras</t>
  </si>
  <si>
    <t>Lietuvos Respublikos žemės ūkio ir kaimo verslo registro duomenų apžvalgos</t>
  </si>
  <si>
    <t>Valstybės įmonė Žemės ūkio informacijos ir kaimo verslo centras</t>
  </si>
  <si>
    <t>Prioritetas: ŽMOGAUS IR APLINKOS SANTARA</t>
  </si>
  <si>
    <t>A / B * 100 proc.</t>
  </si>
  <si>
    <t>A. Perdirbtų / panaudotų komunalinių atliekų kiekis Kauno regiono savivaldybėse (Birštono, Jonavos r., Kaišiadorių, Kauno r. Kauno m., Kėdainių r., Prienų r., Raseinių r.), t;</t>
  </si>
  <si>
    <t>B. Iš viso surinktas komunalinių atliekų kiekis Kauno regiono savivaldybėse (Birštono, Jonavos r., Kaišiadorių, Kauno r. Kauno m., Kėdainių r., Prienų r., Raseinių r.), t .</t>
  </si>
  <si>
    <t>BĮ Aplinkos apsaugos agentūra</t>
  </si>
  <si>
    <t>Atliekų apskaitos duomenys, Informacija apie komunalinių atliekų tvarkymo sistemas Lietuvos savivaldybėse</t>
  </si>
  <si>
    <t>A. Rekultivuotų sąvartynų Kauno regiono savivaldybėse (Birštono, Jonavos r., Kaišiadorių, Kauno r. Kauno m., Kėdainių r., Prienų r., Raseinių r.) skaičius.</t>
  </si>
  <si>
    <t>VšĮ Kauno regiono atliekų tvarkymo centras;</t>
  </si>
  <si>
    <t>UAB Alytaus regiono atliekų tvarkymo centras;</t>
  </si>
  <si>
    <t>Metinės ataskaitos, informacija;</t>
  </si>
  <si>
    <t>Informacija apie komunalinių atliekų tvarkymo sistemas Lietuvos savivaldybėse</t>
  </si>
  <si>
    <t>A. Atskirų komunalinių atliekų srautų surinkimo kiekiai Kauno regiono savivaldybėse (Birštono, Jonavos r., Kaišiadorių, Kauno r. Kauno m., Kėdainių r., Prienų r., Raseinių r.) iš viso, t;</t>
  </si>
  <si>
    <t>B. Gyventojų skaičius Kauno apskrityje metų pradžioje, asmenys.</t>
  </si>
  <si>
    <t>BĮ Aplinkos apsaugos agentūra,</t>
  </si>
  <si>
    <t>Atliekų apskaitos duomenys, Informacija apie komunalinių atliekų tvarkymo sistemas Lietuvos savivaldybėse;</t>
  </si>
  <si>
    <t>(A + B) / C * 100</t>
  </si>
  <si>
    <t>C. Iš viso išleista ūkio, buities ir gamybos nuotekų į paviršinius vandenis, tūkst. m³.</t>
  </si>
  <si>
    <t>A. Naujų ir renovuotų centralizuoto geriamo vandens tinklų Kauno regiono savivaldybėse (Birštono, Jonavos r., Kaišiadorių, Kauno r. Kauno m., Kėdainių r., Prienų r., Raseinių r.) ilgis km;</t>
  </si>
  <si>
    <t>Birštono vandentiekis;</t>
  </si>
  <si>
    <t>Jonavos vandenys;</t>
  </si>
  <si>
    <t>Kaišiadorių vandenys;</t>
  </si>
  <si>
    <t>Kauno vandenys;</t>
  </si>
  <si>
    <t>Kėdainių vandenys;</t>
  </si>
  <si>
    <t>Prienų vandenys;</t>
  </si>
  <si>
    <t>Raseinių vandenys</t>
  </si>
  <si>
    <t>LR Aplinkos ministerija</t>
  </si>
  <si>
    <t>A. Renovuotų daugiabučių Kauno apskrities savivaldybėse skaičius.</t>
  </si>
  <si>
    <t>A. Viešojo ekologiško transporto dalis nuo viso viešojo transporto parko Kauno regione;</t>
  </si>
  <si>
    <t>B. Kauno regiono savivaldybių viešojo transporto priemonių skaičius iš viso.</t>
  </si>
  <si>
    <t>A. Sutvarkytų užterštų, apleistų teritorijų ir vandens telkinių skaičius Kauno regione.</t>
  </si>
  <si>
    <t>SFMIS;</t>
  </si>
  <si>
    <t>A. Savivaldybių, turinčių galiojančius savivaldybių teritorijų planavimo dokumentus skaičius.</t>
  </si>
  <si>
    <t>Kauno apskrities savivaldybių tinklapiai</t>
  </si>
  <si>
    <t>A. Savivaldybių teritorijų ir jų dalių (miestų ir miestelių) atnaujintų bendrųjų, specialiųjų ir kt. planavimo dokumentų skaičius</t>
  </si>
  <si>
    <t>A. Įdiegtos viešojo administravimo paslaugų gerinimo kokybės sistemos Kauno apskrities savivaldybėse.</t>
  </si>
  <si>
    <t>Periodinis, kasmet</t>
  </si>
  <si>
    <t>+</t>
  </si>
  <si>
    <t>0 Eur</t>
  </si>
  <si>
    <t>Periodinis, kas ketvirtį</t>
  </si>
  <si>
    <r>
      <t>Tikslas</t>
    </r>
    <r>
      <rPr>
        <sz val="11"/>
        <color theme="1"/>
        <rFont val="Times New Roman"/>
        <family val="1"/>
        <charset val="186"/>
      </rPr>
      <t>. Plėtoti Kauno regioną kaip mokslo ir verslo partneryste pagrįstą aukštos pridėtinės vertės pramonės kraštą</t>
    </r>
  </si>
  <si>
    <r>
      <t>Tikslas.</t>
    </r>
    <r>
      <rPr>
        <sz val="11"/>
        <color theme="1"/>
        <rFont val="Times New Roman"/>
        <family val="1"/>
        <charset val="186"/>
      </rPr>
      <t xml:space="preserve"> Padidinti gyventojų verslumą ir užimtumą, kuriant ir išlaikant darbo vietas, didinant verslo įvairovę ir darbo vietų pasiekiamumą</t>
    </r>
  </si>
  <si>
    <r>
      <t>Tikslas.</t>
    </r>
    <r>
      <rPr>
        <sz val="11"/>
        <color theme="1"/>
        <rFont val="Times New Roman"/>
        <family val="1"/>
        <charset val="186"/>
      </rPr>
      <t xml:space="preserve"> Plėtoti regiono transporto infrastruktūrą</t>
    </r>
  </si>
  <si>
    <r>
      <t>Tikslas.</t>
    </r>
    <r>
      <rPr>
        <sz val="11"/>
        <color theme="1"/>
        <rFont val="Times New Roman"/>
        <family val="1"/>
        <charset val="186"/>
      </rPr>
      <t xml:space="preserve"> Siekti, kad Kauno regionas taptų tarptautinio ir vietinio turizmo bei įvairiapusiškų poilsio paslaugų centru</t>
    </r>
  </si>
  <si>
    <r>
      <t xml:space="preserve">Tikslas. </t>
    </r>
    <r>
      <rPr>
        <sz val="11"/>
        <color theme="1"/>
        <rFont val="Times New Roman"/>
        <family val="1"/>
        <charset val="186"/>
      </rPr>
      <t>Vystyti subalansuotą mokymosi sistemą.</t>
    </r>
  </si>
  <si>
    <r>
      <t xml:space="preserve">Tikslas. </t>
    </r>
    <r>
      <rPr>
        <sz val="11"/>
        <color theme="1"/>
        <rFont val="Times New Roman"/>
        <family val="1"/>
        <charset val="186"/>
      </rPr>
      <t>Užtikrinti teikiamų socialinių paslaugų prieinamumą.</t>
    </r>
  </si>
  <si>
    <r>
      <t>Tikslas.</t>
    </r>
    <r>
      <rPr>
        <sz val="11"/>
        <color theme="1"/>
        <rFont val="Times New Roman"/>
        <family val="1"/>
        <charset val="186"/>
      </rPr>
      <t xml:space="preserve"> Plėtoti Kauno regioną kaip vieną iš Europos sveikatos regionų.</t>
    </r>
  </si>
  <si>
    <r>
      <t xml:space="preserve">Tikslas. </t>
    </r>
    <r>
      <rPr>
        <sz val="11"/>
        <color rgb="FF000000"/>
        <rFont val="Times New Roman"/>
        <family val="1"/>
        <charset val="186"/>
      </rPr>
      <t>Plėtoti socialinę infrastruktūrą ir bendruomenines iniciatyvas, skirtas gyventojų gyvenimo kokybės ir gyvenamosios aplinkos gerinimui.</t>
    </r>
    <r>
      <rPr>
        <b/>
        <sz val="11"/>
        <color rgb="FF000000"/>
        <rFont val="Times New Roman"/>
        <family val="1"/>
        <charset val="186"/>
      </rPr>
      <t xml:space="preserve">  </t>
    </r>
  </si>
  <si>
    <r>
      <t xml:space="preserve">Tikslas. </t>
    </r>
    <r>
      <rPr>
        <sz val="11"/>
        <color rgb="FF000000"/>
        <rFont val="Times New Roman"/>
        <family val="1"/>
        <charset val="186"/>
      </rPr>
      <t>Visapusiškai vystyti ir modernizuoti kaimo vietoves ir verslą kaime</t>
    </r>
  </si>
  <si>
    <r>
      <t>Tikslas.</t>
    </r>
    <r>
      <rPr>
        <sz val="11"/>
        <color theme="1"/>
        <rFont val="Times New Roman"/>
        <family val="1"/>
        <charset val="186"/>
      </rPr>
      <t xml:space="preserve"> Skatinti darnų išteklių naudojimą, užtikrinti ekosistemų stabilumą Kauno regione</t>
    </r>
    <r>
      <rPr>
        <b/>
        <sz val="11"/>
        <color theme="1"/>
        <rFont val="Times New Roman"/>
        <family val="1"/>
        <charset val="186"/>
      </rPr>
      <t>.</t>
    </r>
  </si>
  <si>
    <r>
      <t xml:space="preserve">Tikslas. </t>
    </r>
    <r>
      <rPr>
        <sz val="11"/>
        <color theme="1"/>
        <rFont val="Times New Roman"/>
        <family val="1"/>
        <charset val="186"/>
      </rPr>
      <t>Parengti regiono įvairių lygmenų teritorijų bei socialinės ekonominės plėtros planavimo dokumentus, diegti ir tobulinti planavimo sistemas.</t>
    </r>
  </si>
  <si>
    <r>
      <t>Tikslas</t>
    </r>
    <r>
      <rPr>
        <sz val="11"/>
        <color theme="1"/>
        <rFont val="Times New Roman"/>
        <family val="1"/>
        <charset val="186"/>
      </rPr>
      <t xml:space="preserve">. Plėtoti Kauno regioną kaip mokslo ir verslo partneryste pagrįstą aukštos pridėtinės vertės pramonės kraštą </t>
    </r>
  </si>
  <si>
    <r>
      <t xml:space="preserve">Uždavinys. </t>
    </r>
    <r>
      <rPr>
        <sz val="11"/>
        <color theme="1"/>
        <rFont val="Times New Roman"/>
        <family val="1"/>
        <charset val="186"/>
      </rPr>
      <t>Šalies ir tarptautiniu mastu įtvirtinti Kauno regiono, kaip modernios ir konkurencingos pramonės krašto, įvaizdį.</t>
    </r>
  </si>
  <si>
    <r>
      <t>Uždavinys.</t>
    </r>
    <r>
      <rPr>
        <sz val="11"/>
        <color theme="1"/>
        <rFont val="Times New Roman"/>
        <family val="1"/>
        <charset val="186"/>
      </rPr>
      <t xml:space="preserve"> Sudaryti sąlygas modernios bei konkurencingos pramonės plėtotei, investicijoms, kuriant darbo vietas, socialiai atsakingą verslą, užtikrinant darnią ir kompleksišką regiono plėtrą.</t>
    </r>
  </si>
  <si>
    <r>
      <t>Uždavinys</t>
    </r>
    <r>
      <rPr>
        <sz val="11"/>
        <color theme="1"/>
        <rFont val="Times New Roman"/>
        <family val="1"/>
        <charset val="186"/>
      </rPr>
      <t>. Skatinti verslumą ir ūkio įvairovę, pritaikant viešuosius statinius verslo ir bendruomeniniams poreikiams</t>
    </r>
  </si>
  <si>
    <r>
      <t>Uždavinys</t>
    </r>
    <r>
      <rPr>
        <sz val="11"/>
        <color theme="1"/>
        <rFont val="Times New Roman"/>
        <family val="1"/>
        <charset val="186"/>
      </rPr>
      <t>. Kurti naujas darbo vietas, pritraukiant investicijas į viešąsias (apleistas, nenaudojamas ir nepakankamai naudojamas) erdves</t>
    </r>
  </si>
  <si>
    <r>
      <t>Uždavinys.</t>
    </r>
    <r>
      <rPr>
        <sz val="11"/>
        <color theme="1"/>
        <rFont val="Times New Roman"/>
        <family val="1"/>
        <charset val="186"/>
      </rPr>
      <t xml:space="preserve"> Didinti darbo jėgos mobilumą, gerinant darbo vietų pasiekiamumą</t>
    </r>
  </si>
  <si>
    <r>
      <t>Uždavinys.</t>
    </r>
    <r>
      <rPr>
        <b/>
        <i/>
        <sz val="11"/>
        <color theme="1"/>
        <rFont val="Times New Roman"/>
        <family val="1"/>
        <charset val="186"/>
      </rPr>
      <t xml:space="preserve"> </t>
    </r>
    <r>
      <rPr>
        <sz val="11"/>
        <color theme="1"/>
        <rFont val="Times New Roman"/>
        <family val="1"/>
        <charset val="186"/>
      </rPr>
      <t>Vystyti poilsio, pramogų, rekreacinio sporto ir turizmo paslaugų infrastruktūrą, užtikrinant teikiamų turizmo paslaugų visapusiškumą bei gerinant paslaugų kokybę.</t>
    </r>
  </si>
  <si>
    <r>
      <t>Uždavinys.</t>
    </r>
    <r>
      <rPr>
        <sz val="11"/>
        <color theme="1"/>
        <rFont val="Times New Roman"/>
        <family val="1"/>
        <charset val="186"/>
      </rPr>
      <t xml:space="preserve"> Diegti ir plėtoti turizmo informacinę sistemą ir aktyviai vykdyti rinkodarą. </t>
    </r>
  </si>
  <si>
    <r>
      <t>Uždavinys.</t>
    </r>
    <r>
      <rPr>
        <sz val="11"/>
        <color theme="1"/>
        <rFont val="Times New Roman"/>
        <family val="1"/>
        <charset val="186"/>
      </rPr>
      <t xml:space="preserve"> Skatinti mokymo įstaigų tipų įvairovę bei racionaliai plėtoti šių įstaigų tinklą ir tobulinti jų teikiamas paslaugas.</t>
    </r>
  </si>
  <si>
    <r>
      <t>Uždavinys.</t>
    </r>
    <r>
      <rPr>
        <i/>
        <sz val="11"/>
        <color theme="1"/>
        <rFont val="Times New Roman"/>
        <family val="1"/>
        <charset val="186"/>
      </rPr>
      <t xml:space="preserve"> </t>
    </r>
    <r>
      <rPr>
        <sz val="11"/>
        <color theme="1"/>
        <rFont val="Times New Roman"/>
        <family val="1"/>
        <charset val="186"/>
      </rPr>
      <t>Renovuoti ir modernizuoti švietimo, ugdymo įstaigas bei jų infrastruktūrą</t>
    </r>
  </si>
  <si>
    <r>
      <t>Uždavinys.</t>
    </r>
    <r>
      <rPr>
        <i/>
        <sz val="11"/>
        <color theme="1"/>
        <rFont val="Times New Roman"/>
        <family val="1"/>
        <charset val="186"/>
      </rPr>
      <t xml:space="preserve"> </t>
    </r>
    <r>
      <rPr>
        <sz val="11"/>
        <color theme="1"/>
        <rFont val="Times New Roman"/>
        <family val="1"/>
        <charset val="186"/>
      </rPr>
      <t>Kurti ir tobulinti mokymosi visą gyvenimą sistemą ir skatinti kvalifikacijos kėlimą.</t>
    </r>
  </si>
  <si>
    <r>
      <t>Uždavinys.</t>
    </r>
    <r>
      <rPr>
        <i/>
        <sz val="11"/>
        <color theme="1"/>
        <rFont val="Times New Roman"/>
        <family val="1"/>
        <charset val="186"/>
      </rPr>
      <t xml:space="preserve"> </t>
    </r>
    <r>
      <rPr>
        <sz val="11"/>
        <color theme="1"/>
        <rFont val="Times New Roman"/>
        <family val="1"/>
        <charset val="186"/>
      </rPr>
      <t>Skatinti neformalaus švietimo iniciatyvas</t>
    </r>
  </si>
  <si>
    <r>
      <t>Uždavinys.</t>
    </r>
    <r>
      <rPr>
        <i/>
        <sz val="11"/>
        <color theme="1"/>
        <rFont val="Times New Roman"/>
        <family val="1"/>
        <charset val="186"/>
      </rPr>
      <t xml:space="preserve"> </t>
    </r>
    <r>
      <rPr>
        <sz val="11"/>
        <color theme="1"/>
        <rFont val="Times New Roman"/>
        <family val="1"/>
        <charset val="186"/>
      </rPr>
      <t>Plėtoti socialines paslaugas, skirtas socialiai pažeidžiamų grupių asmenų integravimui į regiono socialinį ir ekonominį gyvenimą.</t>
    </r>
  </si>
  <si>
    <r>
      <t>Uždavinys.</t>
    </r>
    <r>
      <rPr>
        <b/>
        <i/>
        <sz val="11"/>
        <color theme="1"/>
        <rFont val="Times New Roman"/>
        <family val="1"/>
        <charset val="186"/>
      </rPr>
      <t xml:space="preserve"> </t>
    </r>
    <r>
      <rPr>
        <sz val="11"/>
        <color theme="1"/>
        <rFont val="Times New Roman"/>
        <family val="1"/>
        <charset val="186"/>
      </rPr>
      <t>Efektyviai plėtoti ir modernizuoti socialinio būsto sistemą.</t>
    </r>
  </si>
  <si>
    <r>
      <t>Uždavinys.</t>
    </r>
    <r>
      <rPr>
        <sz val="11"/>
        <color theme="1"/>
        <rFont val="Times New Roman"/>
        <family val="1"/>
        <charset val="186"/>
      </rPr>
      <t xml:space="preserve"> Plėtoti sveikatą stiprinančio Kauno regiono iniciatyvas</t>
    </r>
  </si>
  <si>
    <r>
      <t>Uždavinys.</t>
    </r>
    <r>
      <rPr>
        <i/>
        <sz val="11"/>
        <color theme="1"/>
        <rFont val="Times New Roman"/>
        <family val="1"/>
        <charset val="186"/>
      </rPr>
      <t xml:space="preserve"> </t>
    </r>
    <r>
      <rPr>
        <sz val="11"/>
        <color theme="1"/>
        <rFont val="Times New Roman"/>
        <family val="1"/>
        <charset val="186"/>
      </rPr>
      <t>Optimizuoti sveikatos priežiūros paslaugų struktūrą ir plėtoti infrastruktūrą.</t>
    </r>
  </si>
  <si>
    <r>
      <t>Uždavinys.</t>
    </r>
    <r>
      <rPr>
        <b/>
        <i/>
        <sz val="11"/>
        <color theme="1"/>
        <rFont val="Times New Roman"/>
        <family val="1"/>
        <charset val="186"/>
      </rPr>
      <t xml:space="preserve"> </t>
    </r>
    <r>
      <rPr>
        <sz val="11"/>
        <color theme="1"/>
        <rFont val="Times New Roman"/>
        <family val="1"/>
        <charset val="186"/>
      </rPr>
      <t>Atnaujinti ir plėtoti gyvenamąją, kultūros ir sporto infrastruktūrą, gerinti paslaugų kokybę.</t>
    </r>
  </si>
  <si>
    <r>
      <t>Uždavinys.</t>
    </r>
    <r>
      <rPr>
        <b/>
        <i/>
        <sz val="11"/>
        <color theme="1"/>
        <rFont val="Times New Roman"/>
        <family val="1"/>
        <charset val="186"/>
      </rPr>
      <t xml:space="preserve"> </t>
    </r>
    <r>
      <rPr>
        <sz val="11"/>
        <color theme="1"/>
        <rFont val="Times New Roman"/>
        <family val="1"/>
        <charset val="186"/>
      </rPr>
      <t>Atnaujinti ir plėtoti kultūros ir sporto infrastruktūrą, gerinti paslaugų kokybę.</t>
    </r>
  </si>
  <si>
    <r>
      <t>Uždavinys.</t>
    </r>
    <r>
      <rPr>
        <b/>
        <i/>
        <sz val="11"/>
        <color theme="1"/>
        <rFont val="Times New Roman"/>
        <family val="1"/>
        <charset val="186"/>
      </rPr>
      <t xml:space="preserve"> </t>
    </r>
    <r>
      <rPr>
        <sz val="11"/>
        <color theme="1"/>
        <rFont val="Times New Roman"/>
        <family val="1"/>
        <charset val="186"/>
      </rPr>
      <t>Remti bendruomenines iniciatyvas ir prevencines bei edukacines programas</t>
    </r>
  </si>
  <si>
    <r>
      <t xml:space="preserve">Uždavinys. </t>
    </r>
    <r>
      <rPr>
        <sz val="11"/>
        <color rgb="FF000000"/>
        <rFont val="Times New Roman"/>
        <family val="1"/>
        <charset val="186"/>
      </rPr>
      <t>Stiprinti kaimo bendruomenes bei gerinti bendruomeninę infrastruktūrą.</t>
    </r>
  </si>
  <si>
    <r>
      <t>Uždavinys.</t>
    </r>
    <r>
      <rPr>
        <b/>
        <i/>
        <sz val="11"/>
        <color theme="1"/>
        <rFont val="Times New Roman"/>
        <family val="1"/>
        <charset val="186"/>
      </rPr>
      <t xml:space="preserve"> </t>
    </r>
    <r>
      <rPr>
        <sz val="11"/>
        <color rgb="FF000000"/>
        <rFont val="Times New Roman"/>
        <family val="1"/>
        <charset val="186"/>
      </rPr>
      <t>Įdiegti ir plėtoti šiuolaikišką regiono atliekų tvarkymo, oro taršos kontrolės ir triukšmo prevencines sistemas, skatinti aplinkosauginį švietimą.</t>
    </r>
  </si>
  <si>
    <r>
      <t>Uždavinys</t>
    </r>
    <r>
      <rPr>
        <sz val="11"/>
        <color theme="1"/>
        <rFont val="Times New Roman"/>
        <family val="1"/>
        <charset val="186"/>
      </rPr>
      <t>. Modernizuoti ir plėsti geriamojo vandens tiekimo ir nuotekų tvarkymo infrastruktūrą.</t>
    </r>
  </si>
  <si>
    <r>
      <t>Uždavinys.</t>
    </r>
    <r>
      <rPr>
        <b/>
        <i/>
        <sz val="11"/>
        <color theme="1"/>
        <rFont val="Times New Roman"/>
        <family val="1"/>
        <charset val="186"/>
      </rPr>
      <t xml:space="preserve"> </t>
    </r>
    <r>
      <rPr>
        <sz val="11"/>
        <color theme="1"/>
        <rFont val="Times New Roman"/>
        <family val="1"/>
        <charset val="186"/>
      </rPr>
      <t>Skatinti veiksmingesnį energijos ir kitų gamtos išteklių naudojimą.</t>
    </r>
  </si>
  <si>
    <r>
      <t>Uždavinys.</t>
    </r>
    <r>
      <rPr>
        <b/>
        <i/>
        <sz val="11"/>
        <color theme="1"/>
        <rFont val="Times New Roman"/>
        <family val="1"/>
        <charset val="186"/>
      </rPr>
      <t xml:space="preserve"> </t>
    </r>
    <r>
      <rPr>
        <sz val="11"/>
        <color theme="1"/>
        <rFont val="Times New Roman"/>
        <family val="1"/>
        <charset val="186"/>
      </rPr>
      <t>Užtikrinti efektyvią kraštovaizdžio apsaugą, didinti ekologinį teritorijų stabilumą.</t>
    </r>
  </si>
  <si>
    <r>
      <t xml:space="preserve">Uždavinys. </t>
    </r>
    <r>
      <rPr>
        <sz val="11"/>
        <color theme="1"/>
        <rFont val="Times New Roman"/>
        <family val="1"/>
        <charset val="186"/>
      </rPr>
      <t>Parengti ir atnaujinti regiono ir savivaldybių teritorijų bendruosius planus bei kitus dokumentus, susijusius su planavimu, viešųjų paslaugų kokybės gerinimu, siekiant planavimo procesuose integruoti aplinkos interesus į įvairias ūkio šakas</t>
    </r>
  </si>
  <si>
    <r>
      <t>Uždavinys.</t>
    </r>
    <r>
      <rPr>
        <b/>
        <i/>
        <sz val="11"/>
        <color theme="1"/>
        <rFont val="Times New Roman"/>
        <family val="1"/>
        <charset val="186"/>
      </rPr>
      <t xml:space="preserve"> </t>
    </r>
    <r>
      <rPr>
        <sz val="11"/>
        <color theme="1"/>
        <rFont val="Times New Roman"/>
        <family val="1"/>
        <charset val="186"/>
      </rPr>
      <t>Diegti ir tobulinti sistemas, susijusias su viešojo administravimo efektyvumu.</t>
    </r>
  </si>
  <si>
    <r>
      <t>6 lentelė.</t>
    </r>
    <r>
      <rPr>
        <sz val="11"/>
        <color theme="1"/>
        <rFont val="Times New Roman"/>
        <family val="1"/>
        <charset val="186"/>
      </rPr>
      <t xml:space="preserve"> </t>
    </r>
    <r>
      <rPr>
        <b/>
        <sz val="11"/>
        <color theme="1"/>
        <rFont val="Times New Roman"/>
        <family val="1"/>
        <charset val="186"/>
      </rPr>
      <t>Vertinimo kriterijų reikšmių apskaičiavimo metodai, dalyvaujančios institucijos ir duomenų šaltiniai.</t>
    </r>
  </si>
  <si>
    <r>
      <t>7 lentelė.</t>
    </r>
    <r>
      <rPr>
        <sz val="11"/>
        <color theme="1"/>
        <rFont val="Times New Roman"/>
        <family val="1"/>
        <charset val="186"/>
      </rPr>
      <t xml:space="preserve"> </t>
    </r>
    <r>
      <rPr>
        <b/>
        <sz val="11"/>
        <color theme="1"/>
        <rFont val="Times New Roman"/>
        <family val="1"/>
        <charset val="186"/>
      </rPr>
      <t>Visuomenės informavimo apie plano įgyvendinimą priemonės.</t>
    </r>
  </si>
  <si>
    <t>1.3.1-r-4</t>
  </si>
  <si>
    <t>1.3.1-r-5</t>
  </si>
  <si>
    <t xml:space="preserve">Kelių su danga ilgis nuo visų kelių ilgio Kauno regione, proc. </t>
  </si>
  <si>
    <t xml:space="preserve">81,1
(2013 m.)
</t>
  </si>
  <si>
    <t>[0–81,1] (blogai)</t>
  </si>
  <si>
    <t>(81,1–82] (patenkinamai)</t>
  </si>
  <si>
    <t>Regioninės plėtros departamento prie Vidaus reikalų ministerijos Kauno apskrities skyrius</t>
  </si>
  <si>
    <t>B. Išleista nepakankamai išvalytų ūkio, buities ir gamybos nuotekų į paviršinius vandenis, tūkst. m³;</t>
  </si>
  <si>
    <t>A. Išleista užterštų (be valymo nuotekų) ūkio, buities ir gamybos nuotekų į paviršinius vandenis, tūkst. m³</t>
  </si>
  <si>
    <r>
      <t>Uždavinys.</t>
    </r>
    <r>
      <rPr>
        <sz val="11"/>
        <color rgb="FF000000"/>
        <rFont val="Times New Roman"/>
        <family val="1"/>
        <charset val="186"/>
      </rPr>
      <t xml:space="preserve"> Padidinti žemės ūkio produktų gamybos efektyvumą ir konkurencingumą, plėtoti ne žemės ūkio verslus ir žemės ūkiui alternatyvią ekonominę veiklą kaimo vietovėse.</t>
    </r>
    <r>
      <rPr>
        <b/>
        <sz val="11"/>
        <color rgb="FF000000"/>
        <rFont val="Times New Roman"/>
        <family val="1"/>
        <charset val="186"/>
      </rPr>
      <t xml:space="preserve">  </t>
    </r>
  </si>
  <si>
    <t xml:space="preserve">Regioninės plėtros departamento prie Vidaus reikalų ministerijos Kauno apskrities skyrius
</t>
  </si>
  <si>
    <t>1.1.1.1</t>
  </si>
  <si>
    <t>7.2.1</t>
  </si>
  <si>
    <t>7.2.2.</t>
  </si>
  <si>
    <t>7.2.3.</t>
  </si>
  <si>
    <t>P.N.074</t>
  </si>
  <si>
    <t>Atnaujinti aplinkosauginiai– rekreaciniai objektai, skaičius</t>
  </si>
  <si>
    <t>P.N.507</t>
  </si>
  <si>
    <t>Parengti darnaus judumo mieste planai, skaičius</t>
  </si>
  <si>
    <t>Įdiegtos intelektinės transporto sistemos, skaičius</t>
  </si>
  <si>
    <t>P.S.336</t>
  </si>
  <si>
    <t>Įgyvendintos visuomenės informavimo apie aplinką priemonės, skaičius</t>
  </si>
  <si>
    <t>Tikslinės populiacijos dalis, dalyvavusi vaikų krūminių dantų dengimo silantinėmis medžiagomis programoje, proc</t>
  </si>
  <si>
    <t>V.1</t>
  </si>
  <si>
    <t>V.2</t>
  </si>
  <si>
    <t>V.3</t>
  </si>
  <si>
    <t>V.4</t>
  </si>
  <si>
    <t>V.5</t>
  </si>
  <si>
    <t>V.6</t>
  </si>
  <si>
    <t>7.2.1.</t>
  </si>
  <si>
    <t>suma</t>
  </si>
  <si>
    <t>Stulpelis1</t>
  </si>
  <si>
    <t>Stulpelis2</t>
  </si>
  <si>
    <t>[14–+∞) (labai gerai)</t>
  </si>
  <si>
    <t>(13–14) (gerai)</t>
  </si>
  <si>
    <t>(12–13] (patenkinamai)</t>
  </si>
  <si>
    <t>(-∞–12] (blogai)</t>
  </si>
  <si>
    <t>(12;+∞)</t>
  </si>
  <si>
    <t>(0;12)</t>
  </si>
  <si>
    <t>(10,83;11,5)</t>
  </si>
  <si>
    <t>(11,5;+∞)</t>
  </si>
  <si>
    <t>(0;11,5)</t>
  </si>
  <si>
    <t>(11,5; 12,5)</t>
  </si>
  <si>
    <t>(12,5+∞)</t>
  </si>
  <si>
    <t>(0; 12,5)</t>
  </si>
  <si>
    <t>(12,5;13)</t>
  </si>
  <si>
    <t>(13;+∞)</t>
  </si>
  <si>
    <t>(0; 13)</t>
  </si>
  <si>
    <t>(13;13,5)</t>
  </si>
  <si>
    <t>(13,5;+∞)</t>
  </si>
  <si>
    <t>(0; 13,5)</t>
  </si>
  <si>
    <t>(13,5;13,75)</t>
  </si>
  <si>
    <t>(13,75+∞)</t>
  </si>
  <si>
    <t>(0; 13,75)</t>
  </si>
  <si>
    <t>(13,75;14)</t>
  </si>
  <si>
    <t>(14;+∞)</t>
  </si>
  <si>
    <t>[87–100] (labai gerai)</t>
  </si>
  <si>
    <t>(82–87) (gerai)</t>
  </si>
  <si>
    <t>(87;100)</t>
  </si>
  <si>
    <t>(86;87)</t>
  </si>
  <si>
    <t>(0;86)</t>
  </si>
  <si>
    <t>(86;100)</t>
  </si>
  <si>
    <t>(85,5;86)</t>
  </si>
  <si>
    <t>(0;85,5)</t>
  </si>
  <si>
    <t>(85,5;100)</t>
  </si>
  <si>
    <t>(82;85,5)</t>
  </si>
  <si>
    <t>[800–+∞) (labai gerai)</t>
  </si>
  <si>
    <t>(680–800) (gerai)</t>
  </si>
  <si>
    <t>(457–680] (patenkinamai)</t>
  </si>
  <si>
    <t>(800;+∞)</t>
  </si>
  <si>
    <t>(700;800)</t>
  </si>
  <si>
    <t>(0;700)</t>
  </si>
  <si>
    <t>(680;700)</t>
  </si>
  <si>
    <t>(0;680)</t>
  </si>
  <si>
    <t>(680;+∞)</t>
  </si>
  <si>
    <t>(580;680)</t>
  </si>
  <si>
    <t>(5,3;0)</t>
  </si>
  <si>
    <t>(5,7;5,3)</t>
  </si>
  <si>
    <t>(5,3;5,2)</t>
  </si>
  <si>
    <t>(2258;0)</t>
  </si>
  <si>
    <t>(2402;2258)</t>
  </si>
  <si>
    <t>(2258;2134)</t>
  </si>
  <si>
    <t>(5,42;4,67)</t>
  </si>
  <si>
    <t>(4,57;4,5)</t>
  </si>
  <si>
    <t>(6,0;0)</t>
  </si>
  <si>
    <t>(5,73;0)</t>
  </si>
  <si>
    <t>(5,42;0)</t>
  </si>
  <si>
    <t>(4,67;0)</t>
  </si>
  <si>
    <t>(4,67;4,57)</t>
  </si>
  <si>
    <t>(4,57;0)</t>
  </si>
  <si>
    <t>(4,5;0)</t>
  </si>
  <si>
    <t>(45;+∞)</t>
  </si>
  <si>
    <t>(48;+∞)</t>
  </si>
  <si>
    <t>(32,6;45)</t>
  </si>
  <si>
    <t>(45;48)</t>
  </si>
  <si>
    <t>(0;48)</t>
  </si>
  <si>
    <t>(48;50)</t>
  </si>
  <si>
    <t>[47–100] (labai gerai)</t>
  </si>
  <si>
    <t>(25–47) (gerai)</t>
  </si>
  <si>
    <t>(12,5–25] (patenkinamai)</t>
  </si>
  <si>
    <t>(47;100)</t>
  </si>
  <si>
    <t>(45;100)</t>
  </si>
  <si>
    <t>(43;100)</t>
  </si>
  <si>
    <t>(42;43)</t>
  </si>
  <si>
    <t>(41;42)</t>
  </si>
  <si>
    <t>(41;100)</t>
  </si>
  <si>
    <t>(14;100)</t>
  </si>
  <si>
    <t>(12,8;100)</t>
  </si>
  <si>
    <t>(14;41)</t>
  </si>
  <si>
    <t>(29,18;+∞)</t>
  </si>
  <si>
    <t>(22,8;+∞)</t>
  </si>
  <si>
    <t>(24;+∞)</t>
  </si>
  <si>
    <t>(25,2;+∞)</t>
  </si>
  <si>
    <t>(30;+∞)</t>
  </si>
  <si>
    <t>(29,38;+∞)</t>
  </si>
  <si>
    <t>(71;+∞)</t>
  </si>
  <si>
    <t>(142;+∞)</t>
  </si>
  <si>
    <t>(213;+∞)</t>
  </si>
  <si>
    <t>(500;+∞)</t>
  </si>
  <si>
    <t>(490;500)</t>
  </si>
  <si>
    <t>(480;+∞)</t>
  </si>
  <si>
    <t>(470;480)</t>
  </si>
  <si>
    <t>(460;+∞)</t>
  </si>
  <si>
    <t>(213;460)</t>
  </si>
  <si>
    <t>[25–100] (labai gerai)</t>
  </si>
  <si>
    <t>(22–25) (gerai)</t>
  </si>
  <si>
    <t>(25;100)</t>
  </si>
  <si>
    <t>(22,1;100)</t>
  </si>
  <si>
    <t>(21,7;100)</t>
  </si>
  <si>
    <t>(21,3;100)</t>
  </si>
  <si>
    <t>(23,9;100)</t>
  </si>
  <si>
    <t>(24,75;100)</t>
  </si>
  <si>
    <t>[1800–+∞) (labai gerai)</t>
  </si>
  <si>
    <t>(1350–1800) (gerai)</t>
  </si>
  <si>
    <t>(1324;+∞)</t>
  </si>
  <si>
    <t>(1800;+∞)</t>
  </si>
  <si>
    <t>(1720;+∞)</t>
  </si>
  <si>
    <t>(1690;+∞)</t>
  </si>
  <si>
    <t>(1000;+∞)</t>
  </si>
  <si>
    <t>(1111;1211)</t>
  </si>
  <si>
    <t>(1211;+∞)</t>
  </si>
  <si>
    <t>[0,45–+∞) (labai gerai)</t>
  </si>
  <si>
    <t>(0,26–0,45) (gerai)</t>
  </si>
  <si>
    <t>(0,28;+∞)</t>
  </si>
  <si>
    <t>(0,26;+∞)</t>
  </si>
  <si>
    <t>(0,24;+∞)</t>
  </si>
  <si>
    <t>(0,45;+∞)</t>
  </si>
  <si>
    <t>(0,41;+∞)</t>
  </si>
  <si>
    <t>(0,4;0,41)</t>
  </si>
  <si>
    <t>(253;+∞)</t>
  </si>
  <si>
    <t>(290;+∞)</t>
  </si>
  <si>
    <t>(233;+∞)</t>
  </si>
  <si>
    <t>(287;290)</t>
  </si>
  <si>
    <t>(12;0)</t>
  </si>
  <si>
    <t>(13;0)</t>
  </si>
  <si>
    <t>(13,8;0)</t>
  </si>
  <si>
    <t>(14,2;0)</t>
  </si>
  <si>
    <t>(14,6;0)</t>
  </si>
  <si>
    <t>(14,8;0)</t>
  </si>
  <si>
    <t>(15;14,8)</t>
  </si>
  <si>
    <t>(100;15)</t>
  </si>
  <si>
    <t>[52–+∞) (labai gerai)</t>
  </si>
  <si>
    <t>(47,2–52) (gerai)</t>
  </si>
  <si>
    <t>(52;+∞)</t>
  </si>
  <si>
    <t>(51,5;52)</t>
  </si>
  <si>
    <t>(51;51,5)</t>
  </si>
  <si>
    <t>(51,5;+∞)</t>
  </si>
  <si>
    <t>(46,5;46,6)</t>
  </si>
  <si>
    <t>[260 000–+∞) (labai gerai)</t>
  </si>
  <si>
    <t>(200 000–260 000) (gerai)</t>
  </si>
  <si>
    <t>(260000;+∞)</t>
  </si>
  <si>
    <t>(250000;+∞)</t>
  </si>
  <si>
    <t>(240000;+∞)</t>
  </si>
  <si>
    <t>(230000;+∞)</t>
  </si>
  <si>
    <t>(200000;230000)</t>
  </si>
  <si>
    <t>(180704;181000)</t>
  </si>
  <si>
    <t>(181000;+∞)</t>
  </si>
  <si>
    <t>[2,8–0] (labai gerai)</t>
  </si>
  <si>
    <t>(4,5–2,8) (gerai)</t>
  </si>
  <si>
    <t>(2,8;0)</t>
  </si>
  <si>
    <t>(2,9;2,8)</t>
  </si>
  <si>
    <t>(+∞;5,6)</t>
  </si>
  <si>
    <t>(+∞;5,2)</t>
  </si>
  <si>
    <t>(+∞;4,8)</t>
  </si>
  <si>
    <t>(+∞;4,4)</t>
  </si>
  <si>
    <t>(+∞;3,5)</t>
  </si>
  <si>
    <t>(+∞;2,9)</t>
  </si>
  <si>
    <t>(2,9;0)</t>
  </si>
  <si>
    <t>(3,5;2,9)</t>
  </si>
  <si>
    <t>(3,5;0)</t>
  </si>
  <si>
    <t>(4,4;3,5)</t>
  </si>
  <si>
    <t>(4,4;0)</t>
  </si>
  <si>
    <t>(4,8;0)</t>
  </si>
  <si>
    <t>(16,3;+∞)</t>
  </si>
  <si>
    <t>(16,9;+∞)</t>
  </si>
  <si>
    <t>(20;+∞)</t>
  </si>
  <si>
    <t>(0;19,3)</t>
  </si>
  <si>
    <t>(19,3;+∞)</t>
  </si>
  <si>
    <t>(19;19,3)</t>
  </si>
  <si>
    <t>(0;19)</t>
  </si>
  <si>
    <t>(19;+∞)</t>
  </si>
  <si>
    <t>(18,5;19)</t>
  </si>
  <si>
    <t>(0;18,5)</t>
  </si>
  <si>
    <t>(18,5;+∞)</t>
  </si>
  <si>
    <t>(0;16,9)</t>
  </si>
  <si>
    <t>(0;16,3)</t>
  </si>
  <si>
    <t>[250–+∞) (labai gerai)</t>
  </si>
  <si>
    <t>(100–250) (gerai)</t>
  </si>
  <si>
    <t>(250;+∞)</t>
  </si>
  <si>
    <t>(245;250)</t>
  </si>
  <si>
    <t>(0;245)</t>
  </si>
  <si>
    <t>(245;+∞)</t>
  </si>
  <si>
    <t>(240;245)</t>
  </si>
  <si>
    <t>(0;240)</t>
  </si>
  <si>
    <t>(240;+∞)</t>
  </si>
  <si>
    <t>(230;240)</t>
  </si>
  <si>
    <t>(0;230)</t>
  </si>
  <si>
    <t>(230;+∞)</t>
  </si>
  <si>
    <t>(42;230)</t>
  </si>
  <si>
    <t>(0;42)</t>
  </si>
  <si>
    <t>(42;+∞)</t>
  </si>
  <si>
    <t>[350–+∞) (labai gerai)</t>
  </si>
  <si>
    <t>(250–350) (gerai)</t>
  </si>
  <si>
    <t>(350;+∞)</t>
  </si>
  <si>
    <t>(345;350)</t>
  </si>
  <si>
    <t>(0;345)</t>
  </si>
  <si>
    <t>(345;+∞)</t>
  </si>
  <si>
    <t>(340;345)</t>
  </si>
  <si>
    <t>(0;340)</t>
  </si>
  <si>
    <t>(340;+∞)</t>
  </si>
  <si>
    <t>(335;340)</t>
  </si>
  <si>
    <t>(0;335)</t>
  </si>
  <si>
    <t>(335;+∞)</t>
  </si>
  <si>
    <t>(90;335)</t>
  </si>
  <si>
    <t>(0;90)</t>
  </si>
  <si>
    <t>(90;+∞)</t>
  </si>
  <si>
    <t>[35–+∞) (labai gerai)</t>
  </si>
  <si>
    <t>(10–35) (gerai)</t>
  </si>
  <si>
    <t>(35;+∞)</t>
  </si>
  <si>
    <t>(34;35)</t>
  </si>
  <si>
    <t>(0;34)</t>
  </si>
  <si>
    <t>(34;+∞)</t>
  </si>
  <si>
    <t>(33;34)</t>
  </si>
  <si>
    <t>(0;33)</t>
  </si>
  <si>
    <t>(33;+∞)</t>
  </si>
  <si>
    <t>(12;33)</t>
  </si>
  <si>
    <t>(6;+∞)</t>
  </si>
  <si>
    <t>(3;+∞)</t>
  </si>
  <si>
    <t>(43;+∞)</t>
  </si>
  <si>
    <t>(0;41)</t>
  </si>
  <si>
    <t>(41;+∞)</t>
  </si>
  <si>
    <t>(18;41)</t>
  </si>
  <si>
    <t>(0;18)</t>
  </si>
  <si>
    <t>(18;+∞)</t>
  </si>
  <si>
    <t>[228–+∞) (labai gerai)</t>
  </si>
  <si>
    <t>(29–228) (gerai)</t>
  </si>
  <si>
    <t>(228;+∞)</t>
  </si>
  <si>
    <t>(220;228)</t>
  </si>
  <si>
    <t>(0;220)</t>
  </si>
  <si>
    <t>(220;+∞)</t>
  </si>
  <si>
    <t>(215;220)</t>
  </si>
  <si>
    <t>(0;215)</t>
  </si>
  <si>
    <t>(215;+∞)</t>
  </si>
  <si>
    <t>(210;215)</t>
  </si>
  <si>
    <t>(0;210)</t>
  </si>
  <si>
    <t>(210;+∞)</t>
  </si>
  <si>
    <t>(16;210)</t>
  </si>
  <si>
    <t>(0;16)</t>
  </si>
  <si>
    <t>(16;+∞)</t>
  </si>
  <si>
    <t>(8;+∞)</t>
  </si>
  <si>
    <t>(10;+∞)</t>
  </si>
  <si>
    <t>(9;10)</t>
  </si>
  <si>
    <t>(0;9)</t>
  </si>
  <si>
    <t>(9;+∞)</t>
  </si>
  <si>
    <t>(8;9)</t>
  </si>
  <si>
    <t>(3;8)</t>
  </si>
  <si>
    <t>(0;2)</t>
  </si>
  <si>
    <t>(2;+∞)</t>
  </si>
  <si>
    <t>(1;+∞)</t>
  </si>
  <si>
    <t>(98,5;100)</t>
  </si>
  <si>
    <t>(98,8;100)</t>
  </si>
  <si>
    <t>(98,1;100)</t>
  </si>
  <si>
    <t>(99,4;100)</t>
  </si>
  <si>
    <t>(100;6,3)</t>
  </si>
  <si>
    <t>(100;6,1)</t>
  </si>
  <si>
    <t>(100;5,9)</t>
  </si>
  <si>
    <t>(100;5,7)</t>
  </si>
  <si>
    <t>(100;5,3)</t>
  </si>
  <si>
    <t>(100;5,2)</t>
  </si>
  <si>
    <t>(46,34;+∞)</t>
  </si>
  <si>
    <t>(45,59; +∞)</t>
  </si>
  <si>
    <t>(44,84; +∞)</t>
  </si>
  <si>
    <t>(44,08; +∞)</t>
  </si>
  <si>
    <t>(42,57;+∞)</t>
  </si>
  <si>
    <t>(43,33;+∞)</t>
  </si>
  <si>
    <t>(0;42,57)</t>
  </si>
  <si>
    <t>(0;43,33)</t>
  </si>
  <si>
    <t>(0;44,08)</t>
  </si>
  <si>
    <t>(0;44,84)</t>
  </si>
  <si>
    <t>(0;45,49)</t>
  </si>
  <si>
    <t>(+∞;2804)</t>
  </si>
  <si>
    <t>(+∞;2670)</t>
  </si>
  <si>
    <t>(+∞;2536)</t>
  </si>
  <si>
    <t>(+∞;2402)</t>
  </si>
  <si>
    <t>(+∞;2258)</t>
  </si>
  <si>
    <t>(+∞;2134)</t>
  </si>
  <si>
    <t>(+∞;6,35)</t>
  </si>
  <si>
    <t>(+∞;6,0)</t>
  </si>
  <si>
    <t>(+∞;5,73)</t>
  </si>
  <si>
    <t>(+∞;5,42)</t>
  </si>
  <si>
    <t>(+∞;4,67)</t>
  </si>
  <si>
    <t>(+∞;4,57)</t>
  </si>
  <si>
    <t>(2561,40;+∞)</t>
  </si>
  <si>
    <t>(2617,01;+∞)</t>
  </si>
  <si>
    <t>(2672,61;+∞)</t>
  </si>
  <si>
    <t>(2728,22;+∞)</t>
  </si>
  <si>
    <t>(2783,83;+∞)</t>
  </si>
  <si>
    <t>(2896,2;+∞)</t>
  </si>
  <si>
    <t>(0;2783,83)</t>
  </si>
  <si>
    <t>(0;2728,22)</t>
  </si>
  <si>
    <t>(0;2672,61)</t>
  </si>
  <si>
    <t>(0;2617,01)</t>
  </si>
  <si>
    <t>(0;2561,40)</t>
  </si>
  <si>
    <t>(0;12,8)</t>
  </si>
  <si>
    <t>(0;14)</t>
  </si>
  <si>
    <t>(45;47)</t>
  </si>
  <si>
    <t>(0;43)</t>
  </si>
  <si>
    <t>(43;45)</t>
  </si>
  <si>
    <t>(41;43)</t>
  </si>
  <si>
    <t>(2461,77;+∞)</t>
  </si>
  <si>
    <t>(2131,31;+∞)</t>
  </si>
  <si>
    <t>(1965,65;+∞)</t>
  </si>
  <si>
    <t>(1799,99;+∞)</t>
  </si>
  <si>
    <t>(1634,33;+∞)</t>
  </si>
  <si>
    <t>(1468,66;+∞)</t>
  </si>
  <si>
    <t>(0;1468,66)</t>
  </si>
  <si>
    <t>(0;1634,33)</t>
  </si>
  <si>
    <t>(0;1799,99)</t>
  </si>
  <si>
    <t>(0;1965,65)</t>
  </si>
  <si>
    <t>(0;2131,31)</t>
  </si>
  <si>
    <t>(2131,31;2461,77)</t>
  </si>
  <si>
    <t>(0;22,8)</t>
  </si>
  <si>
    <t>(0;24)</t>
  </si>
  <si>
    <t>(0;25,2)</t>
  </si>
  <si>
    <t>(0;29,18)</t>
  </si>
  <si>
    <t>(29,18;29,38)</t>
  </si>
  <si>
    <t>(0;29,38)</t>
  </si>
  <si>
    <t>(29,38;30)</t>
  </si>
  <si>
    <t>(0;142)</t>
  </si>
  <si>
    <t>(0;213)</t>
  </si>
  <si>
    <t>(0;470)</t>
  </si>
  <si>
    <t>(0;490)</t>
  </si>
  <si>
    <t>(57;0)</t>
  </si>
  <si>
    <t>(57,7;0)</t>
  </si>
  <si>
    <t>(58,2;0)</t>
  </si>
  <si>
    <t>(58,7;0)</t>
  </si>
  <si>
    <t>(59,2;0)</t>
  </si>
  <si>
    <t>(59,7;0)</t>
  </si>
  <si>
    <t>(+∞;59,7)</t>
  </si>
  <si>
    <t>(+∞;59,2)</t>
  </si>
  <si>
    <t>(+∞;58,7)</t>
  </si>
  <si>
    <t>(+∞;58,2)</t>
  </si>
  <si>
    <t>(+∞;57,7)</t>
  </si>
  <si>
    <t>(57,7;57)</t>
  </si>
  <si>
    <t>(0;21,3)</t>
  </si>
  <si>
    <t>(0;21,7)</t>
  </si>
  <si>
    <t>(0;22,1)</t>
  </si>
  <si>
    <t>(22,1;23,9)</t>
  </si>
  <si>
    <t>(+∞;23,9)</t>
  </si>
  <si>
    <t>(23,9;24,75)</t>
  </si>
  <si>
    <t>(0;24,75)</t>
  </si>
  <si>
    <t>(24,75;25)</t>
  </si>
  <si>
    <t>(0,85;0)</t>
  </si>
  <si>
    <t>(0,92;0)</t>
  </si>
  <si>
    <t>(0,96;0)</t>
  </si>
  <si>
    <t>(1;0)</t>
  </si>
  <si>
    <t>(1,04;0)</t>
  </si>
  <si>
    <t>(1,08;0)</t>
  </si>
  <si>
    <t>(+∞;0,92)</t>
  </si>
  <si>
    <t>(+∞;0,96)</t>
  </si>
  <si>
    <t>(+∞;1)</t>
  </si>
  <si>
    <t>(+∞;1,04)</t>
  </si>
  <si>
    <t>(+∞;1,08)</t>
  </si>
  <si>
    <t>(+∞;1,3)</t>
  </si>
  <si>
    <t>(+∞;1,25)</t>
  </si>
  <si>
    <t>(+∞;1,2)</t>
  </si>
  <si>
    <t>(+∞;1,15)</t>
  </si>
  <si>
    <t>(+∞;1,1)</t>
  </si>
  <si>
    <t>(1,1;1)</t>
  </si>
  <si>
    <t>(1,1;0)</t>
  </si>
  <si>
    <t>(1,15;0)</t>
  </si>
  <si>
    <t>(1,2;0)</t>
  </si>
  <si>
    <t>(1,25;0)</t>
  </si>
  <si>
    <t>(1,3;0)</t>
  </si>
  <si>
    <t>(0,056;0)</t>
  </si>
  <si>
    <t>(0,058;0)</t>
  </si>
  <si>
    <t>(0,059;0)</t>
  </si>
  <si>
    <t>(0,061;0)</t>
  </si>
  <si>
    <t>(0,063;0)</t>
  </si>
  <si>
    <t>(0,065;0)</t>
  </si>
  <si>
    <t>(0,058;0,056)</t>
  </si>
  <si>
    <t>(+∞;0,058)</t>
  </si>
  <si>
    <t>(+∞;0,059)</t>
  </si>
  <si>
    <t>(+∞;0,061)</t>
  </si>
  <si>
    <t>(+∞;0,063)</t>
  </si>
  <si>
    <t>(+∞;0,065)</t>
  </si>
  <si>
    <t>(0;1211)</t>
  </si>
  <si>
    <t>(1211;1282)</t>
  </si>
  <si>
    <t>(1282;+∞)</t>
  </si>
  <si>
    <t>(0;1282)</t>
  </si>
  <si>
    <t>(1282;1324)</t>
  </si>
  <si>
    <t>(0;1324)</t>
  </si>
  <si>
    <t>(1324;1690)</t>
  </si>
  <si>
    <t>(0;1690)</t>
  </si>
  <si>
    <t>(1690;1720)</t>
  </si>
  <si>
    <t>(0;1720)</t>
  </si>
  <si>
    <t>(1720;1800)</t>
  </si>
  <si>
    <t>(0;0,24)</t>
  </si>
  <si>
    <t>(0,24;0,26)</t>
  </si>
  <si>
    <t>(0;0,26)</t>
  </si>
  <si>
    <t>(0,26;0,28)</t>
  </si>
  <si>
    <t>(0;0,28)</t>
  </si>
  <si>
    <t>(0;0,4)</t>
  </si>
  <si>
    <t>(0,28;0,4)</t>
  </si>
  <si>
    <t>(0,4;+∞)</t>
  </si>
  <si>
    <t>(0;0,41)</t>
  </si>
  <si>
    <t>(0,41;0,45)</t>
  </si>
  <si>
    <t>(0;243)</t>
  </si>
  <si>
    <t>(0;277)</t>
  </si>
  <si>
    <t>(0;282)</t>
  </si>
  <si>
    <t>(0;287)</t>
  </si>
  <si>
    <t>(287;+∞)</t>
  </si>
  <si>
    <t>(282;287)</t>
  </si>
  <si>
    <t>(277;282)</t>
  </si>
  <si>
    <t>(282;+∞)</t>
  </si>
  <si>
    <t>(277;+∞)</t>
  </si>
  <si>
    <t>(253;277)</t>
  </si>
  <si>
    <t>(0;253)</t>
  </si>
  <si>
    <t>(200;0)</t>
  </si>
  <si>
    <t>(250;200)</t>
  </si>
  <si>
    <t>(+∞;250)</t>
  </si>
  <si>
    <t>(250;0)</t>
  </si>
  <si>
    <t>(+∞;276)</t>
  </si>
  <si>
    <t>(276;0)</t>
  </si>
  <si>
    <t>(+∞;302)</t>
  </si>
  <si>
    <t>(302;0)</t>
  </si>
  <si>
    <t>(+∞;328)</t>
  </si>
  <si>
    <t>(328;0)</t>
  </si>
  <si>
    <t>(+∞;354)</t>
  </si>
  <si>
    <t>(354;0)</t>
  </si>
  <si>
    <t>(7000;+∞)</t>
  </si>
  <si>
    <t>(5000;7000)</t>
  </si>
  <si>
    <t>(0;5000)</t>
  </si>
  <si>
    <t>(5000;+∞)</t>
  </si>
  <si>
    <t>(0;4000)</t>
  </si>
  <si>
    <t>(4000;+∞)</t>
  </si>
  <si>
    <t>(0;3000)</t>
  </si>
  <si>
    <t>(3000;+∞)</t>
  </si>
  <si>
    <t>(0;2000)</t>
  </si>
  <si>
    <t>(2000;+∞)</t>
  </si>
  <si>
    <t>(14,8;14,6)</t>
  </si>
  <si>
    <t>(100;14,8)</t>
  </si>
  <si>
    <t>(100;14,6)</t>
  </si>
  <si>
    <t>(100;14,2)</t>
  </si>
  <si>
    <t>(100;13,8)</t>
  </si>
  <si>
    <t>(13,8;13)</t>
  </si>
  <si>
    <t>(100;13)</t>
  </si>
  <si>
    <t>(13;12)</t>
  </si>
  <si>
    <t>(7;+∞)</t>
  </si>
  <si>
    <t>(6,7;+∞)</t>
  </si>
  <si>
    <t>(6,5;+∞)</t>
  </si>
  <si>
    <t>(6,3;+∞)</t>
  </si>
  <si>
    <t>(6,1;+∞)</t>
  </si>
  <si>
    <t>(5,9;+∞)</t>
  </si>
  <si>
    <t>(0;5,9)</t>
  </si>
  <si>
    <t>(0;6,1)</t>
  </si>
  <si>
    <t>(0;6,3)</t>
  </si>
  <si>
    <t>(0;6,5)</t>
  </si>
  <si>
    <t>(0;6,7)</t>
  </si>
  <si>
    <t>(260;+∞)</t>
  </si>
  <si>
    <t>(185;+∞)</t>
  </si>
  <si>
    <t>(148;+∞)</t>
  </si>
  <si>
    <t>(111;+∞)</t>
  </si>
  <si>
    <t>(74;+∞)</t>
  </si>
  <si>
    <t>(37;+∞)</t>
  </si>
  <si>
    <t>(0;74)</t>
  </si>
  <si>
    <t>(0;111)</t>
  </si>
  <si>
    <t>(0;148)</t>
  </si>
  <si>
    <t>(0;185)</t>
  </si>
  <si>
    <t>(0;46,6)</t>
  </si>
  <si>
    <t>(0;46,9)</t>
  </si>
  <si>
    <t>(0;50)</t>
  </si>
  <si>
    <t>(0;51)</t>
  </si>
  <si>
    <t>(0;51,5)</t>
  </si>
  <si>
    <r>
      <t>(51;</t>
    </r>
    <r>
      <rPr>
        <b/>
        <sz val="11"/>
        <color rgb="FF000000"/>
        <rFont val="Times New Roman"/>
        <family val="1"/>
        <charset val="186"/>
      </rPr>
      <t>+∞</t>
    </r>
    <r>
      <rPr>
        <sz val="11"/>
        <color rgb="FF000000"/>
        <rFont val="Times New Roman"/>
        <family val="1"/>
        <charset val="186"/>
      </rPr>
      <t>)</t>
    </r>
  </si>
  <si>
    <t>(50;51)</t>
  </si>
  <si>
    <t>(46,9;50)</t>
  </si>
  <si>
    <t>(46,9+∞)</t>
  </si>
  <si>
    <t>(46,6;46,9)</t>
  </si>
  <si>
    <t>(46,6;+∞)</t>
  </si>
  <si>
    <t>(750;+∞)</t>
  </si>
  <si>
    <t>(724;+∞)</t>
  </si>
  <si>
    <t>(711;+∞)</t>
  </si>
  <si>
    <t>(698;+∞)</t>
  </si>
  <si>
    <t>(685;+∞)</t>
  </si>
  <si>
    <t>(672;+∞)</t>
  </si>
  <si>
    <t>(0;672)</t>
  </si>
  <si>
    <t>(0;685)</t>
  </si>
  <si>
    <t>(0;698)</t>
  </si>
  <si>
    <t>(0;711)</t>
  </si>
  <si>
    <t>(0;724)</t>
  </si>
  <si>
    <t>(0;181000)</t>
  </si>
  <si>
    <t>(0;200000)</t>
  </si>
  <si>
    <t>(181000;200000)</t>
  </si>
  <si>
    <t>(200000;+∞)</t>
  </si>
  <si>
    <t>(0;230000)</t>
  </si>
  <si>
    <t>(230000;240000)</t>
  </si>
  <si>
    <t>(0;240000)</t>
  </si>
  <si>
    <t>(240000;250000)</t>
  </si>
  <si>
    <t>(0;250000)</t>
  </si>
  <si>
    <t>(250000;260000)</t>
  </si>
  <si>
    <t>(15;+∞)</t>
  </si>
  <si>
    <t>(28;+∞)</t>
  </si>
  <si>
    <t>(0;28)</t>
  </si>
  <si>
    <t>(0;35)</t>
  </si>
  <si>
    <t>(5;+∞)</t>
  </si>
  <si>
    <t>(4;+∞)</t>
  </si>
  <si>
    <t>(0;4)</t>
  </si>
  <si>
    <t>(0;5)</t>
  </si>
  <si>
    <t>(7;10)</t>
  </si>
  <si>
    <t>(245;200)</t>
  </si>
  <si>
    <t>(245;0)</t>
  </si>
  <si>
    <t>(267;0)</t>
  </si>
  <si>
    <t>(289;0)</t>
  </si>
  <si>
    <t>(311;0)</t>
  </si>
  <si>
    <t>(333;0)</t>
  </si>
  <si>
    <t>(+∞;333)</t>
  </si>
  <si>
    <t>(+∞;311)</t>
  </si>
  <si>
    <t>(+∞;289)</t>
  </si>
  <si>
    <t>(+∞;267)</t>
  </si>
  <si>
    <t>(+∞;245)</t>
  </si>
  <si>
    <t>(+∞;0,05)</t>
  </si>
  <si>
    <t>(+∞;0,04)</t>
  </si>
  <si>
    <t>(+∞;0,03)</t>
  </si>
  <si>
    <t>(0,01;0)</t>
  </si>
  <si>
    <t>(0,03;0)</t>
  </si>
  <si>
    <t>(0,04;0)</t>
  </si>
  <si>
    <t>(0,05;0)</t>
  </si>
  <si>
    <t>(0,03;0,01)</t>
  </si>
  <si>
    <t>(2783,83;2896,2)</t>
  </si>
  <si>
    <t>(0,92;0,85)</t>
  </si>
  <si>
    <t>(6,7;7)</t>
  </si>
  <si>
    <t>(185;260)</t>
  </si>
  <si>
    <t>(724;750)</t>
  </si>
  <si>
    <t>(15;20)</t>
  </si>
  <si>
    <t>(35;50)</t>
  </si>
  <si>
    <t>Stulpelis3</t>
  </si>
  <si>
    <t>2014</t>
  </si>
  <si>
    <t>2015</t>
  </si>
  <si>
    <t>2016</t>
  </si>
  <si>
    <t>2017</t>
  </si>
  <si>
    <t>2018</t>
  </si>
  <si>
    <t>2019</t>
  </si>
  <si>
    <t>2020</t>
  </si>
  <si>
    <t>2021</t>
  </si>
  <si>
    <t>2022</t>
  </si>
  <si>
    <t>2023</t>
  </si>
  <si>
    <t>Aktuali redakcija 2019-03-18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</si>
</sst>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31"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9"/>
      <color theme="1"/>
      <name val="Times New Roman"/>
      <family val="1"/>
      <charset val="186"/>
    </font>
    <font>
      <b/>
      <sz val="10"/>
      <color theme="1"/>
      <name val="Times New Roman"/>
      <family val="1"/>
      <charset val="186"/>
    </font>
    <font>
      <b/>
      <sz val="8"/>
      <color theme="1"/>
      <name val="Times New Roman"/>
      <family val="1"/>
      <charset val="186"/>
    </font>
    <font>
      <sz val="9"/>
      <color theme="1"/>
      <name val="Times New Roman"/>
      <family val="1"/>
      <charset val="186"/>
    </font>
    <font>
      <sz val="11"/>
      <color theme="1"/>
      <name val="Times New Roman"/>
      <family val="1"/>
      <charset val="186"/>
    </font>
    <font>
      <i/>
      <sz val="12"/>
      <color theme="1"/>
      <name val="Times New Roman"/>
      <family val="1"/>
      <charset val="186"/>
    </font>
    <font>
      <sz val="12"/>
      <color theme="1"/>
      <name val="Calibri"/>
      <family val="2"/>
      <charset val="186"/>
      <scheme val="minor"/>
    </font>
    <font>
      <sz val="11"/>
      <color theme="1"/>
      <name val="Calibri"/>
      <family val="2"/>
      <charset val="186"/>
      <scheme val="minor"/>
    </font>
    <font>
      <b/>
      <u/>
      <sz val="12"/>
      <color theme="1"/>
      <name val="Times New Roman"/>
      <family val="1"/>
      <charset val="186"/>
    </font>
    <font>
      <b/>
      <sz val="11"/>
      <color theme="1"/>
      <name val="Times New Roman"/>
      <family val="1"/>
      <charset val="186"/>
    </font>
    <font>
      <sz val="11"/>
      <color rgb="FF000000"/>
      <name val="Times New Roman"/>
      <family val="1"/>
      <charset val="186"/>
    </font>
    <font>
      <sz val="10"/>
      <color indexed="63"/>
      <name val="Times New Roman"/>
      <family val="1"/>
    </font>
    <font>
      <sz val="10"/>
      <color indexed="8"/>
      <name val="Times New Roman"/>
      <family val="1"/>
      <charset val="186"/>
    </font>
    <font>
      <vertAlign val="superscript"/>
      <sz val="10"/>
      <color indexed="63"/>
      <name val="Times New Roman"/>
      <family val="1"/>
    </font>
    <font>
      <sz val="10"/>
      <color indexed="63"/>
      <name val="Times New Roman"/>
      <family val="1"/>
      <charset val="186"/>
    </font>
    <font>
      <sz val="10"/>
      <color indexed="8"/>
      <name val="Times New Roman"/>
      <family val="1"/>
    </font>
    <font>
      <sz val="11"/>
      <color theme="1"/>
      <name val="Calibri"/>
      <family val="2"/>
      <scheme val="minor"/>
    </font>
    <font>
      <sz val="9"/>
      <name val="Times New Roman"/>
      <family val="1"/>
      <charset val="186"/>
    </font>
    <font>
      <sz val="11"/>
      <color indexed="8"/>
      <name val="Calibri"/>
      <family val="2"/>
    </font>
    <font>
      <sz val="10"/>
      <name val="Arial"/>
      <family val="2"/>
    </font>
    <font>
      <b/>
      <sz val="11"/>
      <color indexed="8"/>
      <name val="Calibri"/>
      <family val="2"/>
    </font>
    <font>
      <b/>
      <sz val="11"/>
      <color rgb="FF000000"/>
      <name val="Times New Roman"/>
      <family val="1"/>
      <charset val="186"/>
    </font>
    <font>
      <b/>
      <i/>
      <sz val="11"/>
      <color theme="1"/>
      <name val="Times New Roman"/>
      <family val="1"/>
      <charset val="186"/>
    </font>
    <font>
      <i/>
      <sz val="11"/>
      <color theme="1"/>
      <name val="Times New Roman"/>
      <family val="1"/>
      <charset val="186"/>
    </font>
    <font>
      <b/>
      <sz val="11"/>
      <color theme="0"/>
      <name val="Calibri"/>
      <family val="2"/>
      <charset val="186"/>
      <scheme val="minor"/>
    </font>
    <font>
      <sz val="9"/>
      <color indexed="8"/>
      <name val="Times New Roman"/>
      <family val="1"/>
    </font>
    <font>
      <sz val="11"/>
      <name val="Times New Roman"/>
      <family val="1"/>
      <charset val="186"/>
    </font>
    <font>
      <sz val="11"/>
      <name val="Calibri"/>
      <family val="2"/>
      <charset val="186"/>
      <scheme val="minor"/>
    </font>
  </fonts>
  <fills count="5">
    <fill>
      <patternFill patternType="none"/>
    </fill>
    <fill>
      <patternFill patternType="gray125"/>
    </fill>
    <fill>
      <patternFill patternType="solid">
        <fgColor rgb="FFFFFFFF"/>
        <bgColor indexed="64"/>
      </patternFill>
    </fill>
    <fill>
      <patternFill patternType="solid">
        <fgColor theme="4"/>
        <bgColor theme="4"/>
      </patternFill>
    </fill>
    <fill>
      <patternFill patternType="solid">
        <fgColor theme="4" tint="0.79998168889431442"/>
        <bgColor theme="4" tint="0.799981688894314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right style="thin">
        <color theme="4" tint="0.39997558519241921"/>
      </right>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0" fontId="10" fillId="0" borderId="0"/>
    <xf numFmtId="0" fontId="19" fillId="0" borderId="0"/>
    <xf numFmtId="0" fontId="10" fillId="0" borderId="0"/>
    <xf numFmtId="164" fontId="21" fillId="0" borderId="0" applyFont="0" applyFill="0" applyBorder="0" applyAlignment="0" applyProtection="0"/>
    <xf numFmtId="0" fontId="22" fillId="0" borderId="0"/>
    <xf numFmtId="0" fontId="10" fillId="0" borderId="0"/>
    <xf numFmtId="0" fontId="10" fillId="0" borderId="0"/>
    <xf numFmtId="0" fontId="23" fillId="0" borderId="5" applyNumberFormat="0" applyFill="0" applyAlignment="0" applyProtection="0"/>
  </cellStyleXfs>
  <cellXfs count="134">
    <xf numFmtId="0" fontId="0" fillId="0" borderId="0" xfId="0"/>
    <xf numFmtId="0" fontId="2" fillId="0" borderId="0" xfId="0" applyFont="1" applyAlignment="1">
      <alignment vertical="center"/>
    </xf>
    <xf numFmtId="0" fontId="1" fillId="0" borderId="0" xfId="0" applyFont="1" applyAlignment="1">
      <alignment vertical="center"/>
    </xf>
    <xf numFmtId="0" fontId="2" fillId="0" borderId="0" xfId="0" applyFont="1" applyBorder="1" applyAlignment="1">
      <alignment vertical="center" wrapText="1"/>
    </xf>
    <xf numFmtId="0" fontId="0" fillId="0" borderId="0" xfId="0"/>
    <xf numFmtId="0" fontId="2" fillId="0" borderId="0" xfId="0" applyFont="1"/>
    <xf numFmtId="0" fontId="0" fillId="0" borderId="0" xfId="0" applyBorder="1"/>
    <xf numFmtId="0" fontId="1" fillId="0" borderId="0" xfId="0" applyFont="1" applyBorder="1"/>
    <xf numFmtId="0" fontId="4" fillId="0" borderId="0" xfId="0" applyFont="1" applyBorder="1" applyAlignment="1">
      <alignment vertical="center"/>
    </xf>
    <xf numFmtId="0" fontId="1" fillId="0" borderId="0" xfId="0" applyFont="1" applyBorder="1" applyAlignment="1">
      <alignment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vertical="top" wrapText="1"/>
    </xf>
    <xf numFmtId="0" fontId="6" fillId="0" borderId="0" xfId="0" applyFont="1" applyBorder="1" applyAlignment="1">
      <alignment vertical="center" wrapText="1"/>
    </xf>
    <xf numFmtId="0" fontId="7" fillId="0" borderId="0" xfId="0" applyFont="1" applyBorder="1" applyAlignment="1">
      <alignment vertical="center"/>
    </xf>
    <xf numFmtId="0" fontId="9" fillId="0" borderId="0" xfId="0" applyFont="1"/>
    <xf numFmtId="0" fontId="2" fillId="0" borderId="0" xfId="0" applyFont="1" applyBorder="1" applyAlignment="1">
      <alignment vertical="top" wrapText="1"/>
    </xf>
    <xf numFmtId="0" fontId="2" fillId="0" borderId="0" xfId="0" applyFont="1" applyBorder="1" applyAlignment="1"/>
    <xf numFmtId="0" fontId="1" fillId="0" borderId="0" xfId="0" applyFont="1" applyBorder="1" applyAlignment="1">
      <alignment vertical="top" wrapText="1"/>
    </xf>
    <xf numFmtId="0" fontId="3" fillId="0" borderId="0" xfId="0" applyFont="1" applyBorder="1" applyAlignment="1">
      <alignment horizontal="center" vertical="center" wrapText="1"/>
    </xf>
    <xf numFmtId="0" fontId="11" fillId="0" borderId="0" xfId="0" applyFont="1" applyAlignment="1">
      <alignment horizontal="center" vertical="center"/>
    </xf>
    <xf numFmtId="0" fontId="0" fillId="0" borderId="0" xfId="0" applyFont="1" applyBorder="1"/>
    <xf numFmtId="0" fontId="7" fillId="0" borderId="1" xfId="0" applyFont="1" applyBorder="1" applyAlignment="1">
      <alignment vertical="center" wrapText="1"/>
    </xf>
    <xf numFmtId="0" fontId="13" fillId="0" borderId="1" xfId="0" applyFont="1" applyBorder="1" applyAlignment="1">
      <alignment vertical="center" wrapText="1"/>
    </xf>
    <xf numFmtId="0" fontId="12" fillId="0" borderId="0" xfId="0" applyFont="1" applyAlignment="1">
      <alignment vertical="center"/>
    </xf>
    <xf numFmtId="0" fontId="12" fillId="0" borderId="0" xfId="0" applyFont="1" applyBorder="1" applyAlignment="1">
      <alignment vertical="center" wrapText="1"/>
    </xf>
    <xf numFmtId="0" fontId="7" fillId="0" borderId="0" xfId="0" applyFont="1" applyBorder="1" applyAlignment="1">
      <alignment vertical="top" wrapText="1"/>
    </xf>
    <xf numFmtId="0" fontId="12" fillId="0" borderId="1" xfId="0" applyFont="1" applyBorder="1" applyAlignment="1">
      <alignment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2" fillId="0" borderId="2" xfId="0" applyFont="1" applyBorder="1" applyAlignment="1">
      <alignment horizontal="center" vertical="center" wrapText="1"/>
    </xf>
    <xf numFmtId="0" fontId="7" fillId="0" borderId="1" xfId="0" applyFont="1" applyBorder="1" applyAlignment="1">
      <alignment horizontal="left" vertical="center"/>
    </xf>
    <xf numFmtId="0" fontId="14" fillId="0" borderId="1" xfId="1" applyFont="1" applyBorder="1" applyAlignment="1">
      <alignment vertical="top" wrapText="1"/>
    </xf>
    <xf numFmtId="0" fontId="14" fillId="0" borderId="1" xfId="1" applyFont="1" applyFill="1" applyBorder="1" applyAlignment="1">
      <alignment vertical="top" wrapText="1"/>
    </xf>
    <xf numFmtId="0" fontId="15" fillId="0" borderId="1" xfId="1" applyFont="1" applyBorder="1" applyAlignment="1">
      <alignment vertical="top" wrapText="1"/>
    </xf>
    <xf numFmtId="0" fontId="15" fillId="0" borderId="1" xfId="0" applyFont="1" applyFill="1" applyBorder="1" applyAlignment="1">
      <alignment wrapText="1"/>
    </xf>
    <xf numFmtId="0" fontId="0" fillId="0" borderId="0" xfId="0" applyFont="1"/>
    <xf numFmtId="0" fontId="12" fillId="0" borderId="1" xfId="0" applyFont="1" applyBorder="1" applyAlignment="1">
      <alignment horizontal="left" vertical="center"/>
    </xf>
    <xf numFmtId="0" fontId="7" fillId="2" borderId="1" xfId="0" applyFont="1" applyFill="1" applyBorder="1" applyAlignment="1">
      <alignment horizontal="left" vertical="center" wrapText="1"/>
    </xf>
    <xf numFmtId="0" fontId="24" fillId="0" borderId="1" xfId="0" applyFont="1" applyBorder="1" applyAlignment="1">
      <alignment horizontal="left" vertical="center"/>
    </xf>
    <xf numFmtId="0" fontId="7" fillId="0" borderId="0" xfId="0" applyFont="1" applyAlignment="1">
      <alignment vertical="center"/>
    </xf>
    <xf numFmtId="0" fontId="12"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2" fillId="0" borderId="0" xfId="0" applyFont="1" applyBorder="1" applyAlignment="1">
      <alignment horizontal="center" vertical="center" wrapText="1"/>
    </xf>
    <xf numFmtId="0" fontId="12" fillId="0" borderId="0" xfId="0" applyFont="1" applyBorder="1" applyAlignment="1">
      <alignment vertical="top" wrapText="1"/>
    </xf>
    <xf numFmtId="0" fontId="25" fillId="0" borderId="0" xfId="0" applyFont="1" applyAlignment="1">
      <alignment vertical="center"/>
    </xf>
    <xf numFmtId="0" fontId="12" fillId="0" borderId="2" xfId="0" applyFont="1" applyBorder="1" applyAlignment="1">
      <alignment vertical="center" wrapText="1"/>
    </xf>
    <xf numFmtId="0" fontId="0" fillId="0" borderId="1" xfId="0" applyFont="1" applyBorder="1" applyAlignment="1">
      <alignment horizontal="left" vertical="center" wrapText="1"/>
    </xf>
    <xf numFmtId="0" fontId="12" fillId="0" borderId="0" xfId="0" applyFont="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xf numFmtId="0" fontId="7" fillId="0" borderId="0" xfId="0" applyFont="1" applyBorder="1" applyAlignment="1">
      <alignment wrapText="1"/>
    </xf>
    <xf numFmtId="0" fontId="7" fillId="0" borderId="1" xfId="0" applyFont="1" applyBorder="1" applyAlignment="1">
      <alignment horizontal="left" vertical="center" wrapText="1"/>
    </xf>
    <xf numFmtId="0" fontId="8" fillId="0" borderId="0" xfId="0" applyFont="1"/>
    <xf numFmtId="0" fontId="28" fillId="0" borderId="1" xfId="1" applyFont="1" applyBorder="1" applyAlignment="1">
      <alignment vertical="top" wrapText="1"/>
    </xf>
    <xf numFmtId="0" fontId="20" fillId="0" borderId="1" xfId="0" applyNumberFormat="1" applyFont="1" applyBorder="1" applyAlignment="1">
      <alignment horizontal="center" vertical="top" wrapText="1"/>
    </xf>
    <xf numFmtId="0" fontId="20" fillId="4" borderId="1" xfId="0" applyNumberFormat="1" applyFont="1" applyFill="1" applyBorder="1" applyAlignment="1">
      <alignment horizontal="center" vertical="top" wrapText="1"/>
    </xf>
    <xf numFmtId="0" fontId="20" fillId="0" borderId="1" xfId="0" applyNumberFormat="1" applyFont="1" applyBorder="1" applyAlignment="1">
      <alignment horizontal="center" vertical="top"/>
    </xf>
    <xf numFmtId="0" fontId="20" fillId="0" borderId="1" xfId="0" applyFont="1" applyBorder="1" applyAlignment="1">
      <alignment horizontal="center" vertical="top"/>
    </xf>
    <xf numFmtId="0" fontId="20" fillId="4" borderId="1" xfId="0" applyFont="1" applyFill="1" applyBorder="1" applyAlignment="1">
      <alignment horizontal="center" vertical="top"/>
    </xf>
    <xf numFmtId="0" fontId="27" fillId="3" borderId="6" xfId="0" applyFont="1" applyFill="1" applyBorder="1"/>
    <xf numFmtId="0" fontId="13" fillId="0" borderId="1" xfId="0" applyFont="1" applyBorder="1" applyAlignment="1">
      <alignment horizontal="left" vertical="center" wrapText="1"/>
    </xf>
    <xf numFmtId="0" fontId="0" fillId="0" borderId="0" xfId="0" applyNumberFormat="1"/>
    <xf numFmtId="0" fontId="0" fillId="0" borderId="7" xfId="0" applyFont="1" applyBorder="1"/>
    <xf numFmtId="0" fontId="0" fillId="4" borderId="7" xfId="0" applyFont="1" applyFill="1" applyBorder="1"/>
    <xf numFmtId="0" fontId="27" fillId="3" borderId="8" xfId="0" applyFont="1" applyFill="1" applyBorder="1"/>
    <xf numFmtId="0" fontId="27" fillId="3" borderId="9" xfId="0" applyFont="1" applyFill="1" applyBorder="1"/>
    <xf numFmtId="0" fontId="27" fillId="3" borderId="7" xfId="0" applyFont="1" applyFill="1" applyBorder="1"/>
    <xf numFmtId="0" fontId="0" fillId="4" borderId="9" xfId="0" applyFont="1" applyFill="1" applyBorder="1"/>
    <xf numFmtId="0" fontId="0" fillId="0" borderId="9" xfId="0" applyFont="1" applyBorder="1"/>
    <xf numFmtId="0" fontId="0" fillId="4" borderId="8" xfId="0" applyNumberFormat="1" applyFont="1" applyFill="1" applyBorder="1"/>
    <xf numFmtId="0" fontId="0" fillId="0" borderId="8" xfId="0" applyNumberFormat="1" applyFont="1" applyBorder="1"/>
    <xf numFmtId="0" fontId="29" fillId="0" borderId="1" xfId="0" applyFont="1" applyBorder="1" applyAlignment="1">
      <alignment horizontal="left" vertical="center"/>
    </xf>
    <xf numFmtId="0" fontId="29" fillId="0" borderId="1" xfId="0" applyFont="1" applyBorder="1" applyAlignment="1">
      <alignment horizontal="left" vertical="center" wrapText="1"/>
    </xf>
    <xf numFmtId="0" fontId="12" fillId="0" borderId="3" xfId="0" applyFont="1" applyBorder="1" applyAlignment="1">
      <alignment horizontal="center" vertical="center" wrapText="1"/>
    </xf>
    <xf numFmtId="3" fontId="29" fillId="0" borderId="1" xfId="0" applyNumberFormat="1" applyFont="1" applyBorder="1" applyAlignment="1">
      <alignment horizontal="left" vertical="center" wrapText="1"/>
    </xf>
    <xf numFmtId="3" fontId="29" fillId="0" borderId="1" xfId="0" applyNumberFormat="1" applyFont="1" applyBorder="1" applyAlignment="1">
      <alignment horizontal="left" vertical="center"/>
    </xf>
    <xf numFmtId="4" fontId="29" fillId="0" borderId="1" xfId="0" applyNumberFormat="1" applyFont="1" applyBorder="1" applyAlignment="1">
      <alignment horizontal="left" vertical="center"/>
    </xf>
    <xf numFmtId="0" fontId="14" fillId="0" borderId="10" xfId="1" applyFont="1" applyBorder="1" applyAlignment="1">
      <alignment vertical="top" wrapText="1"/>
    </xf>
    <xf numFmtId="0" fontId="14" fillId="0" borderId="10" xfId="1" applyFont="1" applyFill="1" applyBorder="1" applyAlignment="1">
      <alignment vertical="top" wrapText="1"/>
    </xf>
    <xf numFmtId="0" fontId="17" fillId="0" borderId="10" xfId="1" applyFont="1" applyFill="1" applyBorder="1" applyAlignment="1">
      <alignment vertical="top" wrapText="1"/>
    </xf>
    <xf numFmtId="0" fontId="15" fillId="0" borderId="10" xfId="0" applyFont="1" applyFill="1" applyBorder="1" applyAlignment="1">
      <alignment wrapText="1"/>
    </xf>
    <xf numFmtId="0" fontId="15" fillId="0" borderId="10" xfId="1" applyFont="1" applyBorder="1" applyAlignment="1">
      <alignment vertical="top"/>
    </xf>
    <xf numFmtId="0" fontId="18" fillId="0" borderId="10" xfId="1" applyFont="1" applyBorder="1" applyAlignment="1">
      <alignment horizontal="left" wrapText="1"/>
    </xf>
    <xf numFmtId="0" fontId="12" fillId="0" borderId="11" xfId="0" applyFont="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29" fillId="0" borderId="4" xfId="0" applyFont="1" applyBorder="1" applyAlignment="1">
      <alignment horizontal="left" vertical="center"/>
    </xf>
    <xf numFmtId="0" fontId="4" fillId="0" borderId="11"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49" fontId="29" fillId="0" borderId="1" xfId="0" applyNumberFormat="1" applyFont="1" applyBorder="1" applyAlignment="1">
      <alignment horizontal="left" vertical="center"/>
    </xf>
    <xf numFmtId="1" fontId="29" fillId="0" borderId="1" xfId="0" applyNumberFormat="1" applyFont="1" applyBorder="1" applyAlignment="1">
      <alignment horizontal="left" vertical="center" wrapText="1"/>
    </xf>
    <xf numFmtId="0" fontId="30" fillId="0" borderId="0" xfId="0" applyFont="1"/>
    <xf numFmtId="2" fontId="29" fillId="0" borderId="1" xfId="0" applyNumberFormat="1" applyFont="1" applyBorder="1" applyAlignment="1">
      <alignment horizontal="left" vertical="center"/>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3" fontId="7" fillId="0" borderId="1" xfId="0" applyNumberFormat="1" applyFont="1" applyBorder="1" applyAlignment="1">
      <alignment horizontal="left" vertical="center" wrapText="1"/>
    </xf>
    <xf numFmtId="0" fontId="13" fillId="2" borderId="1" xfId="0" applyFont="1" applyFill="1" applyBorder="1" applyAlignment="1">
      <alignment horizontal="left" vertical="center" wrapText="1"/>
    </xf>
    <xf numFmtId="0" fontId="7" fillId="0" borderId="0" xfId="0" applyFont="1" applyBorder="1" applyAlignment="1">
      <alignment horizontal="left" vertical="top" wrapText="1"/>
    </xf>
    <xf numFmtId="0" fontId="7" fillId="0" borderId="0" xfId="0" applyFont="1" applyAlignment="1">
      <alignment horizontal="left" vertical="center" wrapText="1"/>
    </xf>
    <xf numFmtId="0" fontId="12" fillId="0" borderId="1" xfId="0" applyFont="1" applyBorder="1" applyAlignment="1">
      <alignment horizontal="left" vertical="center" wrapText="1"/>
    </xf>
    <xf numFmtId="0" fontId="24" fillId="0" borderId="1" xfId="0" applyFont="1" applyBorder="1" applyAlignment="1">
      <alignment horizontal="left" vertical="center" wrapText="1"/>
    </xf>
    <xf numFmtId="0" fontId="13" fillId="0" borderId="1" xfId="0" applyFont="1" applyBorder="1" applyAlignment="1">
      <alignment horizontal="left" vertical="center" wrapText="1"/>
    </xf>
    <xf numFmtId="0" fontId="7" fillId="0" borderId="0" xfId="0" applyFont="1"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2" fillId="0" borderId="0" xfId="0" applyFont="1" applyAlignment="1">
      <alignment horizontal="center"/>
    </xf>
    <xf numFmtId="0" fontId="11" fillId="0" borderId="0" xfId="0" applyFont="1" applyAlignment="1">
      <alignment horizontal="center" vertical="center"/>
    </xf>
    <xf numFmtId="0" fontId="7" fillId="0" borderId="1" xfId="0" applyFont="1" applyBorder="1" applyAlignment="1">
      <alignment vertical="center" wrapText="1"/>
    </xf>
    <xf numFmtId="0" fontId="13" fillId="0" borderId="1"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xf>
    <xf numFmtId="0" fontId="7" fillId="0" borderId="0" xfId="0" applyFont="1" applyBorder="1" applyAlignment="1">
      <alignment horizontal="left" vertical="center"/>
    </xf>
    <xf numFmtId="0" fontId="7" fillId="0" borderId="3"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left" vertical="center" wrapText="1"/>
    </xf>
    <xf numFmtId="0" fontId="12" fillId="0" borderId="1" xfId="0" applyFont="1" applyBorder="1" applyAlignment="1">
      <alignment horizontal="center" vertical="center" wrapText="1"/>
    </xf>
  </cellXfs>
  <cellStyles count="9">
    <cellStyle name="Įprastas" xfId="0" builtinId="0"/>
    <cellStyle name="Įprastas 2" xfId="2"/>
    <cellStyle name="Įprastas 2 2 4" xfId="1"/>
    <cellStyle name="Kablelis 2" xfId="4"/>
    <cellStyle name="Paprastas 2" xfId="3"/>
    <cellStyle name="Paprastas 2 2" xfId="5"/>
    <cellStyle name="Paprastas 2 3" xfId="6"/>
    <cellStyle name="Paprastas 2 5" xfId="7"/>
    <cellStyle name="Suma 2" xfId="8"/>
  </cellStyles>
  <dxfs count="38">
    <dxf>
      <numFmt numFmtId="0" formatCode="General"/>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b val="0"/>
        <i val="0"/>
        <strike val="0"/>
        <condense val="0"/>
        <extend val="0"/>
        <outline val="0"/>
        <shadow val="0"/>
        <u val="none"/>
        <vertAlign val="baseline"/>
        <sz val="11"/>
        <color auto="1"/>
        <name val="Times New Roman"/>
        <scheme val="none"/>
      </font>
      <alignment horizontal="left"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Times New Roman"/>
        <scheme val="none"/>
      </font>
      <numFmt numFmtId="0" formatCode="General"/>
      <alignment horizontal="left" vertical="center"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Times New Roman"/>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Times New Roman"/>
        <scheme val="none"/>
      </font>
      <alignment horizontal="left"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Times New Roman"/>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Lentelė1" displayName="Lentelė1" ref="A9:M91" totalsRowShown="0" headerRowDxfId="37" headerRowBorderDxfId="36" tableBorderDxfId="35" totalsRowBorderDxfId="34">
  <autoFilter ref="A9:M91"/>
  <tableColumns count="13">
    <tableColumn id="1" name="Kodas" dataDxfId="33" dataCellStyle="Įprastas 2 2 4"/>
    <tableColumn id="2" name="Vertinimo kriterijaus pavadinimas" dataDxfId="32" dataCellStyle="Įprastas 2 2 4"/>
    <tableColumn id="3" name="Metai:" dataDxfId="31"/>
    <tableColumn id="4" name="2014" dataDxfId="30"/>
    <tableColumn id="5" name="2015" dataDxfId="29"/>
    <tableColumn id="6" name="2016" dataDxfId="28"/>
    <tableColumn id="7" name="2017" dataDxfId="27"/>
    <tableColumn id="8" name="2018" dataDxfId="26"/>
    <tableColumn id="9" name="2019" dataDxfId="25"/>
    <tableColumn id="10" name="2020" dataDxfId="24"/>
    <tableColumn id="11" name="2021" dataDxfId="23"/>
    <tableColumn id="12" name="2022" dataDxfId="22"/>
    <tableColumn id="13" name="2023" dataDxfId="21"/>
  </tableColumns>
  <tableStyleInfo showFirstColumn="0" showLastColumn="0" showRowStripes="1" showColumnStripes="0"/>
</table>
</file>

<file path=xl/tables/table2.xml><?xml version="1.0" encoding="utf-8"?>
<table xmlns="http://schemas.openxmlformats.org/spreadsheetml/2006/main" id="2" name="Lentelė2" displayName="Lentelė2" ref="A94:M176" totalsRowShown="0" headerRowDxfId="20" headerRowBorderDxfId="19" tableBorderDxfId="18" totalsRowBorderDxfId="17">
  <autoFilter ref="A94:M176"/>
  <tableColumns count="13">
    <tableColumn id="1" name="Kodas" dataDxfId="16" dataCellStyle="Įprastas 2 2 4"/>
    <tableColumn id="2" name="Vertinimo kriterijaus pavadinimas" dataDxfId="15" dataCellStyle="Įprastas 2 2 4"/>
    <tableColumn id="3" name="Metai:" dataDxfId="14"/>
    <tableColumn id="4" name="2014" dataDxfId="13"/>
    <tableColumn id="5" name="2015" dataDxfId="12"/>
    <tableColumn id="6" name="2016" dataDxfId="11">
      <calculatedColumnFormula>Lentelė2[[#This Row],[2015]]</calculatedColumnFormula>
    </tableColumn>
    <tableColumn id="7" name="2017" dataDxfId="10"/>
    <tableColumn id="8" name="2018" dataDxfId="9"/>
    <tableColumn id="9" name="2019" dataDxfId="8"/>
    <tableColumn id="10" name="2020" dataDxfId="7"/>
    <tableColumn id="11" name="2021" dataDxfId="6"/>
    <tableColumn id="12" name="2022" dataDxfId="5"/>
    <tableColumn id="13" name="2023" dataDxfId="4"/>
  </tableColumns>
  <tableStyleInfo showFirstColumn="0" showLastColumn="0" showRowStripes="1" showColumnStripes="0"/>
</table>
</file>

<file path=xl/tables/table3.xml><?xml version="1.0" encoding="utf-8"?>
<table xmlns="http://schemas.openxmlformats.org/spreadsheetml/2006/main" id="8" name="Lentelė8" displayName="Lentelė8" ref="AM1:AP15" totalsRowShown="0" headerRowDxfId="3" headerRowBorderDxfId="2" tableBorderDxfId="1">
  <autoFilter ref="AM1:AP15"/>
  <sortState ref="AM2:AP15">
    <sortCondition ref="AN9"/>
  </sortState>
  <tableColumns count="4">
    <tableColumn id="1" name="Stulpelis2"/>
    <tableColumn id="2" name="Stulpelis3"/>
    <tableColumn id="3" name="suma"/>
    <tableColumn id="4" name="Stulpelis1"/>
  </tableColumns>
  <tableStyleInfo name="TableStyleMedium2" showFirstColumn="0" showLastColumn="0" showRowStripes="1" showColumnStripes="0"/>
</table>
</file>

<file path=xl/tables/table4.xml><?xml version="1.0" encoding="utf-8"?>
<table xmlns="http://schemas.openxmlformats.org/spreadsheetml/2006/main" id="5" name="Lentelė5" displayName="Lentelė5" ref="B2:D1185" totalsRowShown="0">
  <autoFilter ref="B2:D1185">
    <filterColumn colId="1">
      <customFilters>
        <customFilter operator="notEqual" val=" "/>
      </customFilters>
    </filterColumn>
  </autoFilter>
  <tableColumns count="3">
    <tableColumn id="1" name="Stulpelis1" dataDxfId="0"/>
    <tableColumn id="2" name="Stulpelis2"/>
    <tableColumn id="3" name="Stulpelis3"/>
  </tableColumns>
  <tableStyleInfo name="TableStyleMedium2" showFirstColumn="0" showLastColumn="0" showRowStripes="1" showColumnStripes="0"/>
</table>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8"/>
  <sheetViews>
    <sheetView tabSelected="1" zoomScaleNormal="100" workbookViewId="0">
      <selection activeCell="C5" sqref="C5"/>
    </sheetView>
  </sheetViews>
  <sheetFormatPr defaultRowHeight="15" x14ac:dyDescent="0.25"/>
  <cols>
    <col min="1" max="1" width="4.85546875" style="4" customWidth="1"/>
    <col min="2" max="2" width="14.42578125" customWidth="1"/>
    <col min="3" max="4" width="35.28515625" customWidth="1"/>
    <col min="5" max="6" width="12.42578125" customWidth="1"/>
    <col min="7" max="7" width="23.7109375" customWidth="1"/>
    <col min="8" max="8" width="11.85546875" customWidth="1"/>
    <col min="9" max="9" width="12.5703125" customWidth="1"/>
    <col min="10" max="10" width="11.42578125" customWidth="1"/>
  </cols>
  <sheetData>
    <row r="1" spans="2:8" s="4" customFormat="1" ht="15.75" x14ac:dyDescent="0.25">
      <c r="B1" s="59" t="s">
        <v>1421</v>
      </c>
      <c r="G1" s="115"/>
      <c r="H1" s="115"/>
    </row>
    <row r="2" spans="2:8" ht="15.75" customHeight="1" x14ac:dyDescent="0.25">
      <c r="B2" s="59"/>
      <c r="F2" s="116" t="s">
        <v>52</v>
      </c>
      <c r="G2" s="116"/>
    </row>
    <row r="3" spans="2:8" ht="15.75" customHeight="1" x14ac:dyDescent="0.25">
      <c r="F3" s="117" t="s">
        <v>0</v>
      </c>
      <c r="G3" s="117"/>
    </row>
    <row r="4" spans="2:8" ht="15.75" customHeight="1" x14ac:dyDescent="0.25">
      <c r="F4" s="117" t="s">
        <v>16</v>
      </c>
      <c r="G4" s="117"/>
    </row>
    <row r="6" spans="2:8" ht="16.5" customHeight="1" x14ac:dyDescent="0.25">
      <c r="B6" s="118" t="s">
        <v>3</v>
      </c>
      <c r="C6" s="118"/>
      <c r="D6" s="118"/>
      <c r="E6" s="118"/>
      <c r="F6" s="118"/>
      <c r="G6" s="118"/>
    </row>
    <row r="7" spans="2:8" ht="15.75" x14ac:dyDescent="0.25">
      <c r="B7" s="7"/>
      <c r="C7" s="7"/>
      <c r="D7" s="8"/>
      <c r="E7" s="8"/>
      <c r="F7" s="8"/>
      <c r="G7" s="8"/>
    </row>
    <row r="8" spans="2:8" ht="15.75" x14ac:dyDescent="0.25">
      <c r="B8" s="119" t="s">
        <v>53</v>
      </c>
      <c r="C8" s="119"/>
      <c r="D8" s="119"/>
      <c r="E8" s="119"/>
      <c r="F8" s="119"/>
      <c r="G8" s="119"/>
    </row>
    <row r="9" spans="2:8" s="4" customFormat="1" ht="15.75" x14ac:dyDescent="0.25">
      <c r="B9" s="23"/>
      <c r="C9" s="23"/>
      <c r="D9" s="23"/>
      <c r="E9" s="23"/>
      <c r="F9" s="23"/>
      <c r="G9" s="23"/>
    </row>
    <row r="10" spans="2:8" ht="15.75" x14ac:dyDescent="0.25">
      <c r="B10" s="115" t="s">
        <v>4</v>
      </c>
      <c r="C10" s="115"/>
      <c r="D10" s="115"/>
      <c r="E10" s="115"/>
      <c r="F10" s="115"/>
      <c r="G10" s="115"/>
    </row>
    <row r="12" spans="2:8" x14ac:dyDescent="0.25">
      <c r="B12" s="27" t="s">
        <v>5</v>
      </c>
      <c r="C12" s="40"/>
      <c r="D12" s="40"/>
      <c r="E12" s="40"/>
      <c r="F12" s="40"/>
      <c r="G12" s="40"/>
    </row>
    <row r="13" spans="2:8" ht="57" x14ac:dyDescent="0.25">
      <c r="B13" s="32" t="s">
        <v>1</v>
      </c>
      <c r="C13" s="32" t="s">
        <v>6</v>
      </c>
      <c r="D13" s="32" t="s">
        <v>7</v>
      </c>
      <c r="E13" s="32" t="s">
        <v>315</v>
      </c>
      <c r="F13" s="32" t="s">
        <v>54</v>
      </c>
      <c r="G13" s="32" t="s">
        <v>8</v>
      </c>
    </row>
    <row r="14" spans="2:8" x14ac:dyDescent="0.25">
      <c r="B14" s="31"/>
      <c r="C14" s="41" t="s">
        <v>103</v>
      </c>
      <c r="D14" s="31"/>
      <c r="E14" s="31"/>
      <c r="F14" s="31"/>
      <c r="G14" s="31"/>
    </row>
    <row r="15" spans="2:8" ht="63" customHeight="1" x14ac:dyDescent="0.25">
      <c r="B15" s="102" t="s">
        <v>55</v>
      </c>
      <c r="C15" s="111" t="s">
        <v>815</v>
      </c>
      <c r="D15" s="102" t="s">
        <v>56</v>
      </c>
      <c r="E15" s="102" t="s">
        <v>57</v>
      </c>
      <c r="F15" s="102">
        <v>100</v>
      </c>
      <c r="G15" s="31" t="s">
        <v>122</v>
      </c>
    </row>
    <row r="16" spans="2:8" x14ac:dyDescent="0.25">
      <c r="B16" s="102"/>
      <c r="C16" s="111"/>
      <c r="D16" s="102"/>
      <c r="E16" s="102"/>
      <c r="F16" s="102"/>
      <c r="G16" s="31" t="s">
        <v>98</v>
      </c>
    </row>
    <row r="17" spans="2:7" ht="15" customHeight="1" x14ac:dyDescent="0.25">
      <c r="B17" s="102"/>
      <c r="C17" s="111"/>
      <c r="D17" s="102"/>
      <c r="E17" s="102"/>
      <c r="F17" s="102"/>
      <c r="G17" s="31" t="s">
        <v>99</v>
      </c>
    </row>
    <row r="18" spans="2:7" ht="15.75" customHeight="1" x14ac:dyDescent="0.25">
      <c r="B18" s="102"/>
      <c r="C18" s="111"/>
      <c r="D18" s="102"/>
      <c r="E18" s="102"/>
      <c r="F18" s="102"/>
      <c r="G18" s="31" t="s">
        <v>123</v>
      </c>
    </row>
    <row r="19" spans="2:7" s="4" customFormat="1" ht="125.25" customHeight="1" x14ac:dyDescent="0.25">
      <c r="B19" s="102" t="s">
        <v>58</v>
      </c>
      <c r="C19" s="111" t="s">
        <v>816</v>
      </c>
      <c r="D19" s="102" t="s">
        <v>59</v>
      </c>
      <c r="E19" s="102" t="s">
        <v>60</v>
      </c>
      <c r="F19" s="102">
        <v>14</v>
      </c>
      <c r="G19" s="31" t="s">
        <v>887</v>
      </c>
    </row>
    <row r="20" spans="2:7" s="4" customFormat="1" x14ac:dyDescent="0.25">
      <c r="B20" s="102"/>
      <c r="C20" s="111"/>
      <c r="D20" s="102"/>
      <c r="E20" s="102"/>
      <c r="F20" s="102"/>
      <c r="G20" s="31" t="s">
        <v>888</v>
      </c>
    </row>
    <row r="21" spans="2:7" s="4" customFormat="1" x14ac:dyDescent="0.25">
      <c r="B21" s="102"/>
      <c r="C21" s="111"/>
      <c r="D21" s="102"/>
      <c r="E21" s="102"/>
      <c r="F21" s="102"/>
      <c r="G21" s="31" t="s">
        <v>889</v>
      </c>
    </row>
    <row r="22" spans="2:7" s="4" customFormat="1" x14ac:dyDescent="0.25">
      <c r="B22" s="102"/>
      <c r="C22" s="111"/>
      <c r="D22" s="102"/>
      <c r="E22" s="102"/>
      <c r="F22" s="102"/>
      <c r="G22" s="31" t="s">
        <v>890</v>
      </c>
    </row>
    <row r="23" spans="2:7" s="4" customFormat="1" ht="30.75" customHeight="1" x14ac:dyDescent="0.25">
      <c r="B23" s="102" t="s">
        <v>61</v>
      </c>
      <c r="C23" s="111" t="s">
        <v>817</v>
      </c>
      <c r="D23" s="113" t="s">
        <v>856</v>
      </c>
      <c r="E23" s="102" t="s">
        <v>857</v>
      </c>
      <c r="F23" s="102">
        <v>87</v>
      </c>
      <c r="G23" s="42" t="s">
        <v>910</v>
      </c>
    </row>
    <row r="24" spans="2:7" s="4" customFormat="1" x14ac:dyDescent="0.25">
      <c r="B24" s="102"/>
      <c r="C24" s="111"/>
      <c r="D24" s="113"/>
      <c r="E24" s="102"/>
      <c r="F24" s="102"/>
      <c r="G24" s="42" t="s">
        <v>911</v>
      </c>
    </row>
    <row r="25" spans="2:7" s="4" customFormat="1" x14ac:dyDescent="0.25">
      <c r="B25" s="102"/>
      <c r="C25" s="111"/>
      <c r="D25" s="113"/>
      <c r="E25" s="102"/>
      <c r="F25" s="102"/>
      <c r="G25" s="42" t="s">
        <v>859</v>
      </c>
    </row>
    <row r="26" spans="2:7" s="4" customFormat="1" ht="15.75" customHeight="1" x14ac:dyDescent="0.25">
      <c r="B26" s="102"/>
      <c r="C26" s="111"/>
      <c r="D26" s="113"/>
      <c r="E26" s="102"/>
      <c r="F26" s="102"/>
      <c r="G26" s="35" t="s">
        <v>858</v>
      </c>
    </row>
    <row r="27" spans="2:7" s="4" customFormat="1" ht="78" customHeight="1" x14ac:dyDescent="0.25">
      <c r="B27" s="102" t="s">
        <v>63</v>
      </c>
      <c r="C27" s="111" t="s">
        <v>818</v>
      </c>
      <c r="D27" s="102" t="s">
        <v>64</v>
      </c>
      <c r="E27" s="102" t="s">
        <v>65</v>
      </c>
      <c r="F27" s="102">
        <v>800</v>
      </c>
      <c r="G27" s="31" t="s">
        <v>920</v>
      </c>
    </row>
    <row r="28" spans="2:7" s="4" customFormat="1" x14ac:dyDescent="0.25">
      <c r="B28" s="102"/>
      <c r="C28" s="111"/>
      <c r="D28" s="102"/>
      <c r="E28" s="102"/>
      <c r="F28" s="102"/>
      <c r="G28" s="31" t="s">
        <v>921</v>
      </c>
    </row>
    <row r="29" spans="2:7" s="4" customFormat="1" x14ac:dyDescent="0.25">
      <c r="B29" s="102"/>
      <c r="C29" s="111"/>
      <c r="D29" s="102"/>
      <c r="E29" s="102"/>
      <c r="F29" s="102"/>
      <c r="G29" s="31" t="s">
        <v>922</v>
      </c>
    </row>
    <row r="30" spans="2:7" s="4" customFormat="1" x14ac:dyDescent="0.25">
      <c r="B30" s="102"/>
      <c r="C30" s="111"/>
      <c r="D30" s="102"/>
      <c r="E30" s="102"/>
      <c r="F30" s="102"/>
      <c r="G30" s="31" t="s">
        <v>95</v>
      </c>
    </row>
    <row r="31" spans="2:7" s="4" customFormat="1" x14ac:dyDescent="0.25">
      <c r="B31" s="31"/>
      <c r="C31" s="41" t="s">
        <v>102</v>
      </c>
      <c r="D31" s="31"/>
      <c r="E31" s="31"/>
      <c r="F31" s="31"/>
      <c r="G31" s="31"/>
    </row>
    <row r="32" spans="2:7" s="4" customFormat="1" ht="78" customHeight="1" x14ac:dyDescent="0.25">
      <c r="B32" s="102" t="s">
        <v>66</v>
      </c>
      <c r="C32" s="105" t="s">
        <v>819</v>
      </c>
      <c r="D32" s="103" t="s">
        <v>370</v>
      </c>
      <c r="E32" s="102" t="s">
        <v>76</v>
      </c>
      <c r="F32" s="102">
        <v>5</v>
      </c>
      <c r="G32" s="42" t="s">
        <v>94</v>
      </c>
    </row>
    <row r="33" spans="2:7" s="4" customFormat="1" x14ac:dyDescent="0.25">
      <c r="B33" s="102"/>
      <c r="C33" s="105"/>
      <c r="D33" s="103"/>
      <c r="E33" s="102"/>
      <c r="F33" s="102"/>
      <c r="G33" s="42" t="s">
        <v>93</v>
      </c>
    </row>
    <row r="34" spans="2:7" s="4" customFormat="1" x14ac:dyDescent="0.25">
      <c r="B34" s="102"/>
      <c r="C34" s="105"/>
      <c r="D34" s="103"/>
      <c r="E34" s="102"/>
      <c r="F34" s="102"/>
      <c r="G34" s="42" t="s">
        <v>92</v>
      </c>
    </row>
    <row r="35" spans="2:7" s="4" customFormat="1" x14ac:dyDescent="0.25">
      <c r="B35" s="102"/>
      <c r="C35" s="105"/>
      <c r="D35" s="103"/>
      <c r="E35" s="102"/>
      <c r="F35" s="102"/>
      <c r="G35" s="42" t="s">
        <v>91</v>
      </c>
    </row>
    <row r="36" spans="2:7" s="4" customFormat="1" ht="46.5" customHeight="1" x14ac:dyDescent="0.25">
      <c r="B36" s="102" t="s">
        <v>68</v>
      </c>
      <c r="C36" s="111" t="s">
        <v>820</v>
      </c>
      <c r="D36" s="102" t="s">
        <v>69</v>
      </c>
      <c r="E36" s="102" t="s">
        <v>77</v>
      </c>
      <c r="F36" s="102">
        <v>46.34</v>
      </c>
      <c r="G36" s="31" t="s">
        <v>90</v>
      </c>
    </row>
    <row r="37" spans="2:7" s="4" customFormat="1" x14ac:dyDescent="0.25">
      <c r="B37" s="102"/>
      <c r="C37" s="111"/>
      <c r="D37" s="102"/>
      <c r="E37" s="102"/>
      <c r="F37" s="102"/>
      <c r="G37" s="31" t="s">
        <v>89</v>
      </c>
    </row>
    <row r="38" spans="2:7" s="4" customFormat="1" ht="30" x14ac:dyDescent="0.25">
      <c r="B38" s="102"/>
      <c r="C38" s="111"/>
      <c r="D38" s="102"/>
      <c r="E38" s="102"/>
      <c r="F38" s="102"/>
      <c r="G38" s="31" t="s">
        <v>88</v>
      </c>
    </row>
    <row r="39" spans="2:7" s="4" customFormat="1" x14ac:dyDescent="0.25">
      <c r="B39" s="102"/>
      <c r="C39" s="111"/>
      <c r="D39" s="102"/>
      <c r="E39" s="102"/>
      <c r="F39" s="102"/>
      <c r="G39" s="31" t="s">
        <v>87</v>
      </c>
    </row>
    <row r="40" spans="2:7" s="4" customFormat="1" ht="30.75" customHeight="1" x14ac:dyDescent="0.25">
      <c r="B40" s="102" t="s">
        <v>70</v>
      </c>
      <c r="C40" s="111" t="s">
        <v>821</v>
      </c>
      <c r="D40" s="102" t="s">
        <v>71</v>
      </c>
      <c r="E40" s="102" t="s">
        <v>78</v>
      </c>
      <c r="F40" s="102">
        <v>77</v>
      </c>
      <c r="G40" s="42" t="s">
        <v>124</v>
      </c>
    </row>
    <row r="41" spans="2:7" s="4" customFormat="1" x14ac:dyDescent="0.25">
      <c r="B41" s="102"/>
      <c r="C41" s="111"/>
      <c r="D41" s="102"/>
      <c r="E41" s="102"/>
      <c r="F41" s="102"/>
      <c r="G41" s="42" t="s">
        <v>86</v>
      </c>
    </row>
    <row r="42" spans="2:7" s="4" customFormat="1" x14ac:dyDescent="0.25">
      <c r="B42" s="102"/>
      <c r="C42" s="111"/>
      <c r="D42" s="102"/>
      <c r="E42" s="102"/>
      <c r="F42" s="102"/>
      <c r="G42" s="42" t="s">
        <v>85</v>
      </c>
    </row>
    <row r="43" spans="2:7" s="4" customFormat="1" ht="15.75" customHeight="1" x14ac:dyDescent="0.25">
      <c r="B43" s="102"/>
      <c r="C43" s="111"/>
      <c r="D43" s="102"/>
      <c r="E43" s="102"/>
      <c r="F43" s="102"/>
      <c r="G43" s="31" t="s">
        <v>84</v>
      </c>
    </row>
    <row r="44" spans="2:7" s="4" customFormat="1" ht="125.25" customHeight="1" x14ac:dyDescent="0.25">
      <c r="B44" s="102" t="s">
        <v>72</v>
      </c>
      <c r="C44" s="112" t="s">
        <v>822</v>
      </c>
      <c r="D44" s="113" t="s">
        <v>73</v>
      </c>
      <c r="E44" s="102" t="s">
        <v>79</v>
      </c>
      <c r="F44" s="102">
        <v>2000</v>
      </c>
      <c r="G44" s="42" t="s">
        <v>83</v>
      </c>
    </row>
    <row r="45" spans="2:7" s="4" customFormat="1" x14ac:dyDescent="0.25">
      <c r="B45" s="102"/>
      <c r="C45" s="112"/>
      <c r="D45" s="113"/>
      <c r="E45" s="102"/>
      <c r="F45" s="102"/>
      <c r="G45" s="42" t="s">
        <v>82</v>
      </c>
    </row>
    <row r="46" spans="2:7" s="4" customFormat="1" ht="30" x14ac:dyDescent="0.25">
      <c r="B46" s="102"/>
      <c r="C46" s="112"/>
      <c r="D46" s="113"/>
      <c r="E46" s="102"/>
      <c r="F46" s="102"/>
      <c r="G46" s="42" t="s">
        <v>81</v>
      </c>
    </row>
    <row r="47" spans="2:7" s="4" customFormat="1" x14ac:dyDescent="0.25">
      <c r="B47" s="102"/>
      <c r="C47" s="112"/>
      <c r="D47" s="113"/>
      <c r="E47" s="102"/>
      <c r="F47" s="102"/>
      <c r="G47" s="42" t="s">
        <v>80</v>
      </c>
    </row>
    <row r="48" spans="2:7" s="4" customFormat="1" ht="62.25" customHeight="1" x14ac:dyDescent="0.25">
      <c r="B48" s="102" t="s">
        <v>74</v>
      </c>
      <c r="C48" s="112" t="s">
        <v>823</v>
      </c>
      <c r="D48" s="102" t="s">
        <v>75</v>
      </c>
      <c r="E48" s="102" t="s">
        <v>100</v>
      </c>
      <c r="F48" s="102">
        <v>4.5</v>
      </c>
      <c r="G48" s="31" t="s">
        <v>111</v>
      </c>
    </row>
    <row r="49" spans="2:7" s="4" customFormat="1" x14ac:dyDescent="0.25">
      <c r="B49" s="102"/>
      <c r="C49" s="112"/>
      <c r="D49" s="102"/>
      <c r="E49" s="102"/>
      <c r="F49" s="102"/>
      <c r="G49" s="31" t="s">
        <v>112</v>
      </c>
    </row>
    <row r="50" spans="2:7" s="4" customFormat="1" x14ac:dyDescent="0.25">
      <c r="B50" s="102"/>
      <c r="C50" s="112"/>
      <c r="D50" s="102"/>
      <c r="E50" s="102"/>
      <c r="F50" s="102"/>
      <c r="G50" s="31" t="s">
        <v>113</v>
      </c>
    </row>
    <row r="51" spans="2:7" s="4" customFormat="1" x14ac:dyDescent="0.25">
      <c r="B51" s="102"/>
      <c r="C51" s="112"/>
      <c r="D51" s="102"/>
      <c r="E51" s="102"/>
      <c r="F51" s="102"/>
      <c r="G51" s="31" t="s">
        <v>114</v>
      </c>
    </row>
    <row r="52" spans="2:7" s="4" customFormat="1" x14ac:dyDescent="0.25">
      <c r="B52" s="31"/>
      <c r="C52" s="43" t="s">
        <v>101</v>
      </c>
      <c r="D52" s="31"/>
      <c r="E52" s="31"/>
      <c r="F52" s="31"/>
      <c r="G52" s="31"/>
    </row>
    <row r="53" spans="2:7" s="4" customFormat="1" ht="62.25" customHeight="1" x14ac:dyDescent="0.25">
      <c r="B53" s="102" t="s">
        <v>104</v>
      </c>
      <c r="C53" s="111" t="s">
        <v>824</v>
      </c>
      <c r="D53" s="102" t="s">
        <v>105</v>
      </c>
      <c r="E53" s="102" t="s">
        <v>108</v>
      </c>
      <c r="F53" s="102">
        <v>50</v>
      </c>
      <c r="G53" s="31" t="s">
        <v>115</v>
      </c>
    </row>
    <row r="54" spans="2:7" s="4" customFormat="1" x14ac:dyDescent="0.25">
      <c r="B54" s="102"/>
      <c r="C54" s="111"/>
      <c r="D54" s="102"/>
      <c r="E54" s="102"/>
      <c r="F54" s="102"/>
      <c r="G54" s="31" t="s">
        <v>116</v>
      </c>
    </row>
    <row r="55" spans="2:7" s="4" customFormat="1" x14ac:dyDescent="0.25">
      <c r="B55" s="102"/>
      <c r="C55" s="111"/>
      <c r="D55" s="102"/>
      <c r="E55" s="102"/>
      <c r="F55" s="102"/>
      <c r="G55" s="31" t="s">
        <v>117</v>
      </c>
    </row>
    <row r="56" spans="2:7" s="4" customFormat="1" x14ac:dyDescent="0.25">
      <c r="B56" s="102"/>
      <c r="C56" s="111"/>
      <c r="D56" s="102"/>
      <c r="E56" s="102"/>
      <c r="F56" s="102"/>
      <c r="G56" s="31" t="s">
        <v>118</v>
      </c>
    </row>
    <row r="57" spans="2:7" s="4" customFormat="1" ht="109.5" customHeight="1" x14ac:dyDescent="0.25">
      <c r="B57" s="102" t="s">
        <v>106</v>
      </c>
      <c r="C57" s="111" t="s">
        <v>825</v>
      </c>
      <c r="D57" s="102" t="s">
        <v>107</v>
      </c>
      <c r="E57" s="102" t="s">
        <v>109</v>
      </c>
      <c r="F57" s="102">
        <v>13</v>
      </c>
      <c r="G57" s="31" t="s">
        <v>110</v>
      </c>
    </row>
    <row r="58" spans="2:7" s="4" customFormat="1" x14ac:dyDescent="0.25">
      <c r="B58" s="102"/>
      <c r="C58" s="111"/>
      <c r="D58" s="102"/>
      <c r="E58" s="102"/>
      <c r="F58" s="102"/>
      <c r="G58" s="31" t="s">
        <v>119</v>
      </c>
    </row>
    <row r="59" spans="2:7" s="4" customFormat="1" x14ac:dyDescent="0.25">
      <c r="B59" s="102"/>
      <c r="C59" s="111"/>
      <c r="D59" s="102"/>
      <c r="E59" s="102"/>
      <c r="F59" s="102"/>
      <c r="G59" s="31" t="s">
        <v>120</v>
      </c>
    </row>
    <row r="60" spans="2:7" s="4" customFormat="1" x14ac:dyDescent="0.25">
      <c r="B60" s="102"/>
      <c r="C60" s="111"/>
      <c r="D60" s="102"/>
      <c r="E60" s="102"/>
      <c r="F60" s="102"/>
      <c r="G60" s="31" t="s">
        <v>121</v>
      </c>
    </row>
    <row r="61" spans="2:7" ht="48.75" customHeight="1" x14ac:dyDescent="0.25">
      <c r="B61" s="109" t="s">
        <v>9</v>
      </c>
      <c r="C61" s="109"/>
      <c r="D61" s="109"/>
      <c r="E61" s="109"/>
      <c r="F61" s="109"/>
      <c r="G61" s="109"/>
    </row>
    <row r="62" spans="2:7" ht="45" customHeight="1" x14ac:dyDescent="0.25">
      <c r="B62" s="110" t="s">
        <v>10</v>
      </c>
      <c r="C62" s="110"/>
      <c r="D62" s="110"/>
      <c r="E62" s="110"/>
      <c r="F62" s="110"/>
      <c r="G62" s="110"/>
    </row>
    <row r="63" spans="2:7" x14ac:dyDescent="0.25">
      <c r="B63" s="44" t="s">
        <v>11</v>
      </c>
      <c r="C63" s="28"/>
      <c r="D63" s="28"/>
      <c r="E63" s="24"/>
      <c r="F63" s="24"/>
      <c r="G63" s="28"/>
    </row>
    <row r="64" spans="2:7" ht="15.75" x14ac:dyDescent="0.25">
      <c r="B64" s="3"/>
      <c r="C64" s="3"/>
      <c r="D64" s="3"/>
      <c r="E64" s="24"/>
      <c r="F64" s="24"/>
      <c r="G64" s="3"/>
    </row>
    <row r="65" spans="2:7" x14ac:dyDescent="0.25">
      <c r="B65" s="27" t="s">
        <v>12</v>
      </c>
      <c r="C65" s="28"/>
      <c r="D65" s="28"/>
      <c r="E65" s="24"/>
      <c r="F65" s="24"/>
      <c r="G65" s="28"/>
    </row>
    <row r="66" spans="2:7" ht="57" x14ac:dyDescent="0.25">
      <c r="B66" s="32" t="s">
        <v>1</v>
      </c>
      <c r="C66" s="32" t="s">
        <v>13</v>
      </c>
      <c r="D66" s="32" t="s">
        <v>7</v>
      </c>
      <c r="E66" s="32" t="s">
        <v>315</v>
      </c>
      <c r="F66" s="32" t="s">
        <v>54</v>
      </c>
      <c r="G66" s="32" t="s">
        <v>14</v>
      </c>
    </row>
    <row r="67" spans="2:7" ht="60" x14ac:dyDescent="0.25">
      <c r="B67" s="31"/>
      <c r="C67" s="32" t="s">
        <v>826</v>
      </c>
      <c r="D67" s="31"/>
      <c r="E67" s="31"/>
      <c r="F67" s="31"/>
      <c r="G67" s="31"/>
    </row>
    <row r="68" spans="2:7" ht="62.25" customHeight="1" x14ac:dyDescent="0.25">
      <c r="B68" s="103" t="s">
        <v>125</v>
      </c>
      <c r="C68" s="105" t="s">
        <v>827</v>
      </c>
      <c r="D68" s="103" t="s">
        <v>126</v>
      </c>
      <c r="E68" s="102" t="s">
        <v>127</v>
      </c>
      <c r="F68" s="102">
        <v>2896.2</v>
      </c>
      <c r="G68" s="42" t="s">
        <v>229</v>
      </c>
    </row>
    <row r="69" spans="2:7" ht="15.75" customHeight="1" x14ac:dyDescent="0.25">
      <c r="B69" s="103"/>
      <c r="C69" s="105"/>
      <c r="D69" s="103"/>
      <c r="E69" s="102"/>
      <c r="F69" s="102"/>
      <c r="G69" s="42" t="s">
        <v>128</v>
      </c>
    </row>
    <row r="70" spans="2:7" ht="30" x14ac:dyDescent="0.25">
      <c r="B70" s="103"/>
      <c r="C70" s="105"/>
      <c r="D70" s="103"/>
      <c r="E70" s="102"/>
      <c r="F70" s="102"/>
      <c r="G70" s="42" t="s">
        <v>129</v>
      </c>
    </row>
    <row r="71" spans="2:7" x14ac:dyDescent="0.25">
      <c r="B71" s="103"/>
      <c r="C71" s="105"/>
      <c r="D71" s="103"/>
      <c r="E71" s="102"/>
      <c r="F71" s="102"/>
      <c r="G71" s="42" t="s">
        <v>130</v>
      </c>
    </row>
    <row r="72" spans="2:7" s="4" customFormat="1" ht="78" customHeight="1" x14ac:dyDescent="0.25">
      <c r="B72" s="103" t="s">
        <v>131</v>
      </c>
      <c r="C72" s="105" t="s">
        <v>827</v>
      </c>
      <c r="D72" s="103" t="s">
        <v>132</v>
      </c>
      <c r="E72" s="102" t="s">
        <v>231</v>
      </c>
      <c r="F72" s="102">
        <v>47</v>
      </c>
      <c r="G72" s="42" t="s">
        <v>951</v>
      </c>
    </row>
    <row r="73" spans="2:7" s="4" customFormat="1" x14ac:dyDescent="0.25">
      <c r="B73" s="103"/>
      <c r="C73" s="105"/>
      <c r="D73" s="103"/>
      <c r="E73" s="102"/>
      <c r="F73" s="102"/>
      <c r="G73" s="42" t="s">
        <v>952</v>
      </c>
    </row>
    <row r="74" spans="2:7" s="4" customFormat="1" x14ac:dyDescent="0.25">
      <c r="B74" s="103"/>
      <c r="C74" s="105"/>
      <c r="D74" s="103"/>
      <c r="E74" s="102"/>
      <c r="F74" s="102"/>
      <c r="G74" s="42" t="s">
        <v>953</v>
      </c>
    </row>
    <row r="75" spans="2:7" s="4" customFormat="1" x14ac:dyDescent="0.25">
      <c r="B75" s="103"/>
      <c r="C75" s="105"/>
      <c r="D75" s="103"/>
      <c r="E75" s="102"/>
      <c r="F75" s="102"/>
      <c r="G75" s="42" t="s">
        <v>232</v>
      </c>
    </row>
    <row r="76" spans="2:7" s="4" customFormat="1" ht="141" customHeight="1" x14ac:dyDescent="0.25">
      <c r="B76" s="103" t="s">
        <v>133</v>
      </c>
      <c r="C76" s="105" t="s">
        <v>828</v>
      </c>
      <c r="D76" s="103" t="s">
        <v>134</v>
      </c>
      <c r="E76" s="102" t="s">
        <v>135</v>
      </c>
      <c r="F76" s="102">
        <v>2461.77</v>
      </c>
      <c r="G76" s="42" t="s">
        <v>316</v>
      </c>
    </row>
    <row r="77" spans="2:7" s="4" customFormat="1" x14ac:dyDescent="0.25">
      <c r="B77" s="103"/>
      <c r="C77" s="105"/>
      <c r="D77" s="103"/>
      <c r="E77" s="102"/>
      <c r="F77" s="102"/>
      <c r="G77" s="42" t="s">
        <v>233</v>
      </c>
    </row>
    <row r="78" spans="2:7" s="4" customFormat="1" ht="30" x14ac:dyDescent="0.25">
      <c r="B78" s="103"/>
      <c r="C78" s="105"/>
      <c r="D78" s="103"/>
      <c r="E78" s="102"/>
      <c r="F78" s="102"/>
      <c r="G78" s="42" t="s">
        <v>234</v>
      </c>
    </row>
    <row r="79" spans="2:7" s="4" customFormat="1" x14ac:dyDescent="0.25">
      <c r="B79" s="103"/>
      <c r="C79" s="105"/>
      <c r="D79" s="103"/>
      <c r="E79" s="102"/>
      <c r="F79" s="102"/>
      <c r="G79" s="42" t="s">
        <v>235</v>
      </c>
    </row>
    <row r="80" spans="2:7" s="4" customFormat="1" ht="60" x14ac:dyDescent="0.25">
      <c r="B80" s="31"/>
      <c r="C80" s="32" t="s">
        <v>816</v>
      </c>
      <c r="D80" s="31"/>
      <c r="E80" s="31"/>
      <c r="F80" s="31"/>
      <c r="G80" s="31"/>
    </row>
    <row r="81" spans="2:7" s="4" customFormat="1" ht="62.25" customHeight="1" x14ac:dyDescent="0.25">
      <c r="B81" s="103" t="s">
        <v>136</v>
      </c>
      <c r="C81" s="105" t="s">
        <v>829</v>
      </c>
      <c r="D81" s="103" t="s">
        <v>137</v>
      </c>
      <c r="E81" s="102" t="s">
        <v>138</v>
      </c>
      <c r="F81" s="102">
        <v>30</v>
      </c>
      <c r="G81" s="42" t="s">
        <v>317</v>
      </c>
    </row>
    <row r="82" spans="2:7" s="4" customFormat="1" x14ac:dyDescent="0.25">
      <c r="B82" s="103"/>
      <c r="C82" s="105"/>
      <c r="D82" s="103"/>
      <c r="E82" s="102"/>
      <c r="F82" s="102"/>
      <c r="G82" s="42" t="s">
        <v>236</v>
      </c>
    </row>
    <row r="83" spans="2:7" s="4" customFormat="1" ht="30" x14ac:dyDescent="0.25">
      <c r="B83" s="103"/>
      <c r="C83" s="105"/>
      <c r="D83" s="103"/>
      <c r="E83" s="102"/>
      <c r="F83" s="102"/>
      <c r="G83" s="42" t="s">
        <v>237</v>
      </c>
    </row>
    <row r="84" spans="2:7" s="4" customFormat="1" x14ac:dyDescent="0.25">
      <c r="B84" s="103"/>
      <c r="C84" s="105"/>
      <c r="D84" s="103"/>
      <c r="E84" s="102"/>
      <c r="F84" s="102"/>
      <c r="G84" s="42" t="s">
        <v>238</v>
      </c>
    </row>
    <row r="85" spans="2:7" s="4" customFormat="1" ht="78" customHeight="1" x14ac:dyDescent="0.25">
      <c r="B85" s="103" t="s">
        <v>139</v>
      </c>
      <c r="C85" s="105" t="s">
        <v>830</v>
      </c>
      <c r="D85" s="103" t="s">
        <v>140</v>
      </c>
      <c r="E85" s="102" t="s">
        <v>141</v>
      </c>
      <c r="F85" s="102">
        <v>500</v>
      </c>
      <c r="G85" s="42" t="s">
        <v>318</v>
      </c>
    </row>
    <row r="86" spans="2:7" s="4" customFormat="1" x14ac:dyDescent="0.25">
      <c r="B86" s="103"/>
      <c r="C86" s="105"/>
      <c r="D86" s="103"/>
      <c r="E86" s="102"/>
      <c r="F86" s="102"/>
      <c r="G86" s="42" t="s">
        <v>239</v>
      </c>
    </row>
    <row r="87" spans="2:7" s="4" customFormat="1" x14ac:dyDescent="0.25">
      <c r="B87" s="103"/>
      <c r="C87" s="105"/>
      <c r="D87" s="103"/>
      <c r="E87" s="102"/>
      <c r="F87" s="102"/>
      <c r="G87" s="42" t="s">
        <v>240</v>
      </c>
    </row>
    <row r="88" spans="2:7" s="4" customFormat="1" x14ac:dyDescent="0.25">
      <c r="B88" s="103"/>
      <c r="C88" s="105"/>
      <c r="D88" s="103"/>
      <c r="E88" s="102"/>
      <c r="F88" s="102"/>
      <c r="G88" s="42" t="s">
        <v>241</v>
      </c>
    </row>
    <row r="89" spans="2:7" s="4" customFormat="1" ht="30" x14ac:dyDescent="0.25">
      <c r="B89" s="31"/>
      <c r="C89" s="31" t="s">
        <v>142</v>
      </c>
      <c r="D89" s="31"/>
      <c r="E89" s="31"/>
      <c r="F89" s="31"/>
      <c r="G89" s="31"/>
    </row>
    <row r="90" spans="2:7" s="4" customFormat="1" ht="30.75" customHeight="1" x14ac:dyDescent="0.25">
      <c r="B90" s="103" t="s">
        <v>143</v>
      </c>
      <c r="C90" s="105" t="s">
        <v>831</v>
      </c>
      <c r="D90" s="103" t="s">
        <v>144</v>
      </c>
      <c r="E90" s="102" t="s">
        <v>150</v>
      </c>
      <c r="F90" s="102">
        <v>57</v>
      </c>
      <c r="G90" s="42" t="s">
        <v>242</v>
      </c>
    </row>
    <row r="91" spans="2:7" s="4" customFormat="1" x14ac:dyDescent="0.25">
      <c r="B91" s="103"/>
      <c r="C91" s="105"/>
      <c r="D91" s="103"/>
      <c r="E91" s="102"/>
      <c r="F91" s="102"/>
      <c r="G91" s="42" t="s">
        <v>243</v>
      </c>
    </row>
    <row r="92" spans="2:7" s="4" customFormat="1" x14ac:dyDescent="0.25">
      <c r="B92" s="103"/>
      <c r="C92" s="105"/>
      <c r="D92" s="103"/>
      <c r="E92" s="102"/>
      <c r="F92" s="102"/>
      <c r="G92" s="42" t="s">
        <v>244</v>
      </c>
    </row>
    <row r="93" spans="2:7" s="4" customFormat="1" x14ac:dyDescent="0.25">
      <c r="B93" s="103"/>
      <c r="C93" s="105"/>
      <c r="D93" s="103"/>
      <c r="E93" s="102"/>
      <c r="F93" s="102"/>
      <c r="G93" s="42" t="s">
        <v>245</v>
      </c>
    </row>
    <row r="94" spans="2:7" s="4" customFormat="1" ht="30.75" customHeight="1" x14ac:dyDescent="0.25">
      <c r="B94" s="103" t="s">
        <v>145</v>
      </c>
      <c r="C94" s="105" t="s">
        <v>831</v>
      </c>
      <c r="D94" s="108" t="s">
        <v>230</v>
      </c>
      <c r="E94" s="102" t="s">
        <v>62</v>
      </c>
      <c r="F94" s="102">
        <v>25</v>
      </c>
      <c r="G94" s="42" t="s">
        <v>978</v>
      </c>
    </row>
    <row r="95" spans="2:7" s="4" customFormat="1" x14ac:dyDescent="0.25">
      <c r="B95" s="103"/>
      <c r="C95" s="105"/>
      <c r="D95" s="108"/>
      <c r="E95" s="102"/>
      <c r="F95" s="102"/>
      <c r="G95" s="42" t="s">
        <v>979</v>
      </c>
    </row>
    <row r="96" spans="2:7" s="4" customFormat="1" x14ac:dyDescent="0.25">
      <c r="B96" s="103"/>
      <c r="C96" s="105"/>
      <c r="D96" s="108"/>
      <c r="E96" s="102"/>
      <c r="F96" s="102"/>
      <c r="G96" s="42" t="s">
        <v>97</v>
      </c>
    </row>
    <row r="97" spans="2:7" s="4" customFormat="1" x14ac:dyDescent="0.25">
      <c r="B97" s="103"/>
      <c r="C97" s="105"/>
      <c r="D97" s="108"/>
      <c r="E97" s="102"/>
      <c r="F97" s="102"/>
      <c r="G97" s="42" t="s">
        <v>96</v>
      </c>
    </row>
    <row r="98" spans="2:7" s="4" customFormat="1" ht="30.75" customHeight="1" x14ac:dyDescent="0.25">
      <c r="B98" s="103" t="s">
        <v>148</v>
      </c>
      <c r="C98" s="105" t="s">
        <v>831</v>
      </c>
      <c r="D98" s="103" t="s">
        <v>146</v>
      </c>
      <c r="E98" s="102" t="s">
        <v>151</v>
      </c>
      <c r="F98" s="102">
        <v>0.85</v>
      </c>
      <c r="G98" s="42" t="s">
        <v>246</v>
      </c>
    </row>
    <row r="99" spans="2:7" s="4" customFormat="1" x14ac:dyDescent="0.25">
      <c r="B99" s="103"/>
      <c r="C99" s="105"/>
      <c r="D99" s="103"/>
      <c r="E99" s="102"/>
      <c r="F99" s="102"/>
      <c r="G99" s="42" t="s">
        <v>247</v>
      </c>
    </row>
    <row r="100" spans="2:7" s="4" customFormat="1" ht="30" x14ac:dyDescent="0.25">
      <c r="B100" s="103"/>
      <c r="C100" s="105"/>
      <c r="D100" s="103"/>
      <c r="E100" s="102"/>
      <c r="F100" s="102"/>
      <c r="G100" s="42" t="s">
        <v>248</v>
      </c>
    </row>
    <row r="101" spans="2:7" s="4" customFormat="1" x14ac:dyDescent="0.25">
      <c r="B101" s="103"/>
      <c r="C101" s="105"/>
      <c r="D101" s="103"/>
      <c r="E101" s="102"/>
      <c r="F101" s="102"/>
      <c r="G101" s="42" t="s">
        <v>319</v>
      </c>
    </row>
    <row r="102" spans="2:7" s="4" customFormat="1" ht="30.75" customHeight="1" x14ac:dyDescent="0.25">
      <c r="B102" s="103" t="s">
        <v>854</v>
      </c>
      <c r="C102" s="105" t="s">
        <v>831</v>
      </c>
      <c r="D102" s="103" t="s">
        <v>147</v>
      </c>
      <c r="E102" s="102" t="s">
        <v>152</v>
      </c>
      <c r="F102" s="102">
        <v>1</v>
      </c>
      <c r="G102" s="42" t="s">
        <v>249</v>
      </c>
    </row>
    <row r="103" spans="2:7" s="4" customFormat="1" x14ac:dyDescent="0.25">
      <c r="B103" s="103"/>
      <c r="C103" s="105"/>
      <c r="D103" s="103"/>
      <c r="E103" s="102"/>
      <c r="F103" s="102"/>
      <c r="G103" s="42" t="s">
        <v>250</v>
      </c>
    </row>
    <row r="104" spans="2:7" s="4" customFormat="1" ht="30" x14ac:dyDescent="0.25">
      <c r="B104" s="103"/>
      <c r="C104" s="105"/>
      <c r="D104" s="103"/>
      <c r="E104" s="102"/>
      <c r="F104" s="102"/>
      <c r="G104" s="42" t="s">
        <v>251</v>
      </c>
    </row>
    <row r="105" spans="2:7" s="4" customFormat="1" x14ac:dyDescent="0.25">
      <c r="B105" s="103"/>
      <c r="C105" s="105"/>
      <c r="D105" s="103"/>
      <c r="E105" s="102"/>
      <c r="F105" s="102"/>
      <c r="G105" s="42" t="s">
        <v>320</v>
      </c>
    </row>
    <row r="106" spans="2:7" s="4" customFormat="1" ht="30.75" customHeight="1" x14ac:dyDescent="0.25">
      <c r="B106" s="103" t="s">
        <v>855</v>
      </c>
      <c r="C106" s="105" t="s">
        <v>831</v>
      </c>
      <c r="D106" s="103" t="s">
        <v>149</v>
      </c>
      <c r="E106" s="102" t="s">
        <v>153</v>
      </c>
      <c r="F106" s="102">
        <v>5.6000000000000001E-2</v>
      </c>
      <c r="G106" s="42" t="s">
        <v>322</v>
      </c>
    </row>
    <row r="107" spans="2:7" s="4" customFormat="1" x14ac:dyDescent="0.25">
      <c r="B107" s="103"/>
      <c r="C107" s="105"/>
      <c r="D107" s="103"/>
      <c r="E107" s="102"/>
      <c r="F107" s="102"/>
      <c r="G107" s="42" t="s">
        <v>252</v>
      </c>
    </row>
    <row r="108" spans="2:7" s="4" customFormat="1" ht="30" x14ac:dyDescent="0.25">
      <c r="B108" s="103"/>
      <c r="C108" s="105"/>
      <c r="D108" s="103"/>
      <c r="E108" s="102"/>
      <c r="F108" s="102"/>
      <c r="G108" s="42" t="s">
        <v>253</v>
      </c>
    </row>
    <row r="109" spans="2:7" s="4" customFormat="1" x14ac:dyDescent="0.25">
      <c r="B109" s="103"/>
      <c r="C109" s="105"/>
      <c r="D109" s="103"/>
      <c r="E109" s="102"/>
      <c r="F109" s="102"/>
      <c r="G109" s="42" t="s">
        <v>321</v>
      </c>
    </row>
    <row r="110" spans="2:7" s="4" customFormat="1" ht="45" x14ac:dyDescent="0.25">
      <c r="B110" s="31"/>
      <c r="C110" s="31" t="s">
        <v>154</v>
      </c>
      <c r="D110" s="31"/>
      <c r="E110" s="31"/>
      <c r="F110" s="31"/>
      <c r="G110" s="31"/>
    </row>
    <row r="111" spans="2:7" s="4" customFormat="1" ht="109.5" customHeight="1" x14ac:dyDescent="0.25">
      <c r="B111" s="103" t="s">
        <v>155</v>
      </c>
      <c r="C111" s="105" t="s">
        <v>832</v>
      </c>
      <c r="D111" s="103" t="s">
        <v>156</v>
      </c>
      <c r="E111" s="102" t="s">
        <v>157</v>
      </c>
      <c r="F111" s="102">
        <v>1800</v>
      </c>
      <c r="G111" s="42" t="s">
        <v>986</v>
      </c>
    </row>
    <row r="112" spans="2:7" s="4" customFormat="1" x14ac:dyDescent="0.25">
      <c r="B112" s="103"/>
      <c r="C112" s="105"/>
      <c r="D112" s="103"/>
      <c r="E112" s="102"/>
      <c r="F112" s="102"/>
      <c r="G112" s="42" t="s">
        <v>987</v>
      </c>
    </row>
    <row r="113" spans="2:7" s="4" customFormat="1" ht="30" x14ac:dyDescent="0.25">
      <c r="B113" s="103"/>
      <c r="C113" s="105"/>
      <c r="D113" s="103"/>
      <c r="E113" s="102"/>
      <c r="F113" s="102"/>
      <c r="G113" s="42" t="s">
        <v>254</v>
      </c>
    </row>
    <row r="114" spans="2:7" s="4" customFormat="1" x14ac:dyDescent="0.25">
      <c r="B114" s="103"/>
      <c r="C114" s="105"/>
      <c r="D114" s="103"/>
      <c r="E114" s="102"/>
      <c r="F114" s="102"/>
      <c r="G114" s="42" t="s">
        <v>255</v>
      </c>
    </row>
    <row r="115" spans="2:7" s="4" customFormat="1" ht="109.5" customHeight="1" x14ac:dyDescent="0.25">
      <c r="B115" s="103" t="s">
        <v>158</v>
      </c>
      <c r="C115" s="105" t="s">
        <v>832</v>
      </c>
      <c r="D115" s="103" t="s">
        <v>159</v>
      </c>
      <c r="E115" s="102" t="s">
        <v>163</v>
      </c>
      <c r="F115" s="102">
        <v>0.45</v>
      </c>
      <c r="G115" s="42" t="s">
        <v>995</v>
      </c>
    </row>
    <row r="116" spans="2:7" s="4" customFormat="1" x14ac:dyDescent="0.25">
      <c r="B116" s="103"/>
      <c r="C116" s="105"/>
      <c r="D116" s="103"/>
      <c r="E116" s="102"/>
      <c r="F116" s="102"/>
      <c r="G116" s="42" t="s">
        <v>996</v>
      </c>
    </row>
    <row r="117" spans="2:7" s="4" customFormat="1" ht="30" x14ac:dyDescent="0.25">
      <c r="B117" s="103"/>
      <c r="C117" s="105"/>
      <c r="D117" s="103"/>
      <c r="E117" s="102"/>
      <c r="F117" s="102"/>
      <c r="G117" s="42" t="s">
        <v>256</v>
      </c>
    </row>
    <row r="118" spans="2:7" s="4" customFormat="1" x14ac:dyDescent="0.25">
      <c r="B118" s="103"/>
      <c r="C118" s="105"/>
      <c r="D118" s="103"/>
      <c r="E118" s="102"/>
      <c r="F118" s="102"/>
      <c r="G118" s="42" t="s">
        <v>257</v>
      </c>
    </row>
    <row r="119" spans="2:7" s="4" customFormat="1" ht="46.5" customHeight="1" x14ac:dyDescent="0.25">
      <c r="B119" s="103" t="s">
        <v>160</v>
      </c>
      <c r="C119" s="105" t="s">
        <v>833</v>
      </c>
      <c r="D119" s="103" t="s">
        <v>161</v>
      </c>
      <c r="E119" s="102" t="s">
        <v>162</v>
      </c>
      <c r="F119" s="102">
        <v>290</v>
      </c>
      <c r="G119" s="42" t="s">
        <v>323</v>
      </c>
    </row>
    <row r="120" spans="2:7" s="4" customFormat="1" x14ac:dyDescent="0.25">
      <c r="B120" s="103"/>
      <c r="C120" s="105"/>
      <c r="D120" s="103"/>
      <c r="E120" s="102"/>
      <c r="F120" s="102"/>
      <c r="G120" s="42" t="s">
        <v>258</v>
      </c>
    </row>
    <row r="121" spans="2:7" s="4" customFormat="1" x14ac:dyDescent="0.25">
      <c r="B121" s="103"/>
      <c r="C121" s="105"/>
      <c r="D121" s="103"/>
      <c r="E121" s="102"/>
      <c r="F121" s="102"/>
      <c r="G121" s="42" t="s">
        <v>259</v>
      </c>
    </row>
    <row r="122" spans="2:7" s="4" customFormat="1" x14ac:dyDescent="0.25">
      <c r="B122" s="103"/>
      <c r="C122" s="105"/>
      <c r="D122" s="103"/>
      <c r="E122" s="102"/>
      <c r="F122" s="102"/>
      <c r="G122" s="42" t="s">
        <v>260</v>
      </c>
    </row>
    <row r="123" spans="2:7" s="4" customFormat="1" ht="30" x14ac:dyDescent="0.25">
      <c r="B123" s="31"/>
      <c r="C123" s="31" t="s">
        <v>164</v>
      </c>
      <c r="D123" s="31"/>
      <c r="E123" s="31"/>
      <c r="F123" s="31"/>
      <c r="G123" s="31"/>
    </row>
    <row r="124" spans="2:7" s="4" customFormat="1" ht="78" customHeight="1" x14ac:dyDescent="0.25">
      <c r="B124" s="103" t="s">
        <v>165</v>
      </c>
      <c r="C124" s="105" t="s">
        <v>834</v>
      </c>
      <c r="D124" s="103" t="s">
        <v>166</v>
      </c>
      <c r="E124" s="102" t="s">
        <v>314</v>
      </c>
      <c r="F124" s="102">
        <v>200</v>
      </c>
      <c r="G124" s="42" t="s">
        <v>261</v>
      </c>
    </row>
    <row r="125" spans="2:7" s="4" customFormat="1" x14ac:dyDescent="0.25">
      <c r="B125" s="103"/>
      <c r="C125" s="105"/>
      <c r="D125" s="103"/>
      <c r="E125" s="102"/>
      <c r="F125" s="102"/>
      <c r="G125" s="42" t="s">
        <v>262</v>
      </c>
    </row>
    <row r="126" spans="2:7" s="4" customFormat="1" x14ac:dyDescent="0.25">
      <c r="B126" s="103"/>
      <c r="C126" s="105"/>
      <c r="D126" s="103"/>
      <c r="E126" s="102"/>
      <c r="F126" s="102"/>
      <c r="G126" s="42" t="s">
        <v>263</v>
      </c>
    </row>
    <row r="127" spans="2:7" s="4" customFormat="1" x14ac:dyDescent="0.25">
      <c r="B127" s="103"/>
      <c r="C127" s="105"/>
      <c r="D127" s="103"/>
      <c r="E127" s="102"/>
      <c r="F127" s="102"/>
      <c r="G127" s="42" t="s">
        <v>325</v>
      </c>
    </row>
    <row r="128" spans="2:7" s="4" customFormat="1" ht="405" x14ac:dyDescent="0.25">
      <c r="B128" s="42" t="s">
        <v>167</v>
      </c>
      <c r="C128" s="45" t="s">
        <v>835</v>
      </c>
      <c r="D128" s="46" t="s">
        <v>168</v>
      </c>
      <c r="E128" s="31" t="s">
        <v>141</v>
      </c>
      <c r="F128" s="31" t="s">
        <v>141</v>
      </c>
      <c r="G128" s="31" t="s">
        <v>264</v>
      </c>
    </row>
    <row r="129" spans="2:7" s="4" customFormat="1" ht="46.5" customHeight="1" x14ac:dyDescent="0.25">
      <c r="B129" s="103" t="s">
        <v>169</v>
      </c>
      <c r="C129" s="105" t="s">
        <v>836</v>
      </c>
      <c r="D129" s="103" t="s">
        <v>170</v>
      </c>
      <c r="E129" s="102" t="s">
        <v>141</v>
      </c>
      <c r="F129" s="102">
        <v>7000</v>
      </c>
      <c r="G129" s="42" t="s">
        <v>326</v>
      </c>
    </row>
    <row r="130" spans="2:7" s="4" customFormat="1" x14ac:dyDescent="0.25">
      <c r="B130" s="103"/>
      <c r="C130" s="105"/>
      <c r="D130" s="103"/>
      <c r="E130" s="102"/>
      <c r="F130" s="102"/>
      <c r="G130" s="42" t="s">
        <v>265</v>
      </c>
    </row>
    <row r="131" spans="2:7" s="4" customFormat="1" ht="30" x14ac:dyDescent="0.25">
      <c r="B131" s="103"/>
      <c r="C131" s="105"/>
      <c r="D131" s="103"/>
      <c r="E131" s="102"/>
      <c r="F131" s="102"/>
      <c r="G131" s="42" t="s">
        <v>266</v>
      </c>
    </row>
    <row r="132" spans="2:7" s="4" customFormat="1" x14ac:dyDescent="0.25">
      <c r="B132" s="103"/>
      <c r="C132" s="105"/>
      <c r="D132" s="103"/>
      <c r="E132" s="102"/>
      <c r="F132" s="102"/>
      <c r="G132" s="42" t="s">
        <v>267</v>
      </c>
    </row>
    <row r="133" spans="2:7" s="4" customFormat="1" ht="409.5" x14ac:dyDescent="0.25">
      <c r="B133" s="42" t="s">
        <v>171</v>
      </c>
      <c r="C133" s="45" t="s">
        <v>837</v>
      </c>
      <c r="D133" s="46" t="s">
        <v>172</v>
      </c>
      <c r="E133" s="31" t="s">
        <v>141</v>
      </c>
      <c r="F133" s="31" t="s">
        <v>141</v>
      </c>
      <c r="G133" s="31" t="s">
        <v>268</v>
      </c>
    </row>
    <row r="134" spans="2:7" s="4" customFormat="1" ht="30" x14ac:dyDescent="0.25">
      <c r="B134" s="31"/>
      <c r="C134" s="31" t="s">
        <v>173</v>
      </c>
      <c r="D134" s="31"/>
      <c r="E134" s="31"/>
      <c r="F134" s="31"/>
      <c r="G134" s="31"/>
    </row>
    <row r="135" spans="2:7" s="4" customFormat="1" ht="188.25" customHeight="1" x14ac:dyDescent="0.25">
      <c r="B135" s="103" t="s">
        <v>174</v>
      </c>
      <c r="C135" s="105" t="s">
        <v>838</v>
      </c>
      <c r="D135" s="103" t="s">
        <v>175</v>
      </c>
      <c r="E135" s="102" t="s">
        <v>178</v>
      </c>
      <c r="F135" s="102">
        <v>12</v>
      </c>
      <c r="G135" s="42" t="s">
        <v>269</v>
      </c>
    </row>
    <row r="136" spans="2:7" s="4" customFormat="1" x14ac:dyDescent="0.25">
      <c r="B136" s="103"/>
      <c r="C136" s="105"/>
      <c r="D136" s="103"/>
      <c r="E136" s="102"/>
      <c r="F136" s="102"/>
      <c r="G136" s="42" t="s">
        <v>270</v>
      </c>
    </row>
    <row r="137" spans="2:7" s="4" customFormat="1" x14ac:dyDescent="0.25">
      <c r="B137" s="103"/>
      <c r="C137" s="105"/>
      <c r="D137" s="103"/>
      <c r="E137" s="102"/>
      <c r="F137" s="102"/>
      <c r="G137" s="42" t="s">
        <v>271</v>
      </c>
    </row>
    <row r="138" spans="2:7" s="4" customFormat="1" x14ac:dyDescent="0.25">
      <c r="B138" s="103"/>
      <c r="C138" s="105"/>
      <c r="D138" s="103"/>
      <c r="E138" s="102"/>
      <c r="F138" s="102"/>
      <c r="G138" s="42" t="s">
        <v>272</v>
      </c>
    </row>
    <row r="139" spans="2:7" s="4" customFormat="1" ht="78" customHeight="1" x14ac:dyDescent="0.25">
      <c r="B139" s="103" t="s">
        <v>176</v>
      </c>
      <c r="C139" s="105" t="s">
        <v>838</v>
      </c>
      <c r="D139" s="103" t="s">
        <v>177</v>
      </c>
      <c r="E139" s="102" t="s">
        <v>179</v>
      </c>
      <c r="F139" s="102">
        <v>7</v>
      </c>
      <c r="G139" s="42" t="s">
        <v>273</v>
      </c>
    </row>
    <row r="140" spans="2:7" s="4" customFormat="1" x14ac:dyDescent="0.25">
      <c r="B140" s="103"/>
      <c r="C140" s="105"/>
      <c r="D140" s="103"/>
      <c r="E140" s="102"/>
      <c r="F140" s="102"/>
      <c r="G140" s="42" t="s">
        <v>274</v>
      </c>
    </row>
    <row r="141" spans="2:7" s="4" customFormat="1" x14ac:dyDescent="0.25">
      <c r="B141" s="103"/>
      <c r="C141" s="105"/>
      <c r="D141" s="103"/>
      <c r="E141" s="102"/>
      <c r="F141" s="102"/>
      <c r="G141" s="42" t="s">
        <v>275</v>
      </c>
    </row>
    <row r="142" spans="2:7" s="4" customFormat="1" x14ac:dyDescent="0.25">
      <c r="B142" s="103"/>
      <c r="C142" s="105"/>
      <c r="D142" s="103"/>
      <c r="E142" s="102"/>
      <c r="F142" s="102"/>
      <c r="G142" s="42" t="s">
        <v>276</v>
      </c>
    </row>
    <row r="143" spans="2:7" s="4" customFormat="1" ht="30.75" customHeight="1" x14ac:dyDescent="0.25">
      <c r="B143" s="103" t="s">
        <v>180</v>
      </c>
      <c r="C143" s="105" t="s">
        <v>839</v>
      </c>
      <c r="D143" s="103" t="s">
        <v>181</v>
      </c>
      <c r="E143" s="102" t="s">
        <v>141</v>
      </c>
      <c r="F143" s="102">
        <v>260</v>
      </c>
      <c r="G143" s="42" t="s">
        <v>327</v>
      </c>
    </row>
    <row r="144" spans="2:7" s="4" customFormat="1" x14ac:dyDescent="0.25">
      <c r="B144" s="103"/>
      <c r="C144" s="105"/>
      <c r="D144" s="103"/>
      <c r="E144" s="102"/>
      <c r="F144" s="102"/>
      <c r="G144" s="42" t="s">
        <v>277</v>
      </c>
    </row>
    <row r="145" spans="2:7" s="4" customFormat="1" x14ac:dyDescent="0.25">
      <c r="B145" s="103"/>
      <c r="C145" s="105"/>
      <c r="D145" s="103"/>
      <c r="E145" s="102"/>
      <c r="F145" s="102"/>
      <c r="G145" s="42" t="s">
        <v>278</v>
      </c>
    </row>
    <row r="146" spans="2:7" s="4" customFormat="1" x14ac:dyDescent="0.25">
      <c r="B146" s="103"/>
      <c r="C146" s="105"/>
      <c r="D146" s="103"/>
      <c r="E146" s="102"/>
      <c r="F146" s="102"/>
      <c r="G146" s="42" t="s">
        <v>279</v>
      </c>
    </row>
    <row r="147" spans="2:7" s="4" customFormat="1" ht="30" x14ac:dyDescent="0.25">
      <c r="B147" s="31"/>
      <c r="C147" s="31" t="s">
        <v>182</v>
      </c>
      <c r="D147" s="31"/>
      <c r="E147" s="31"/>
      <c r="F147" s="31"/>
      <c r="G147" s="31"/>
    </row>
    <row r="148" spans="2:7" s="4" customFormat="1" x14ac:dyDescent="0.25">
      <c r="B148" s="103" t="s">
        <v>183</v>
      </c>
      <c r="C148" s="105" t="s">
        <v>840</v>
      </c>
      <c r="D148" s="103" t="s">
        <v>184</v>
      </c>
      <c r="E148" s="102" t="s">
        <v>185</v>
      </c>
      <c r="F148" s="102">
        <v>52</v>
      </c>
      <c r="G148" s="42" t="s">
        <v>1015</v>
      </c>
    </row>
    <row r="149" spans="2:7" s="4" customFormat="1" x14ac:dyDescent="0.25">
      <c r="B149" s="103"/>
      <c r="C149" s="105"/>
      <c r="D149" s="103"/>
      <c r="E149" s="102"/>
      <c r="F149" s="102"/>
      <c r="G149" s="42" t="s">
        <v>1016</v>
      </c>
    </row>
    <row r="150" spans="2:7" s="4" customFormat="1" ht="30" x14ac:dyDescent="0.25">
      <c r="B150" s="103"/>
      <c r="C150" s="105"/>
      <c r="D150" s="103"/>
      <c r="E150" s="102"/>
      <c r="F150" s="102"/>
      <c r="G150" s="42" t="s">
        <v>280</v>
      </c>
    </row>
    <row r="151" spans="2:7" s="4" customFormat="1" x14ac:dyDescent="0.25">
      <c r="B151" s="103"/>
      <c r="C151" s="105"/>
      <c r="D151" s="103"/>
      <c r="E151" s="102"/>
      <c r="F151" s="102"/>
      <c r="G151" s="42" t="s">
        <v>281</v>
      </c>
    </row>
    <row r="152" spans="2:7" s="4" customFormat="1" ht="409.5" x14ac:dyDescent="0.25">
      <c r="B152" s="42" t="s">
        <v>186</v>
      </c>
      <c r="C152" s="45" t="s">
        <v>841</v>
      </c>
      <c r="D152" s="46" t="s">
        <v>187</v>
      </c>
      <c r="E152" s="31" t="s">
        <v>141</v>
      </c>
      <c r="F152" s="31" t="s">
        <v>141</v>
      </c>
      <c r="G152" s="31" t="s">
        <v>268</v>
      </c>
    </row>
    <row r="153" spans="2:7" s="4" customFormat="1" ht="60" x14ac:dyDescent="0.25">
      <c r="B153" s="31"/>
      <c r="C153" s="31" t="s">
        <v>188</v>
      </c>
      <c r="D153" s="31"/>
      <c r="E153" s="31"/>
      <c r="F153" s="31"/>
      <c r="G153" s="31"/>
    </row>
    <row r="154" spans="2:7" s="4" customFormat="1" ht="46.5" customHeight="1" x14ac:dyDescent="0.25">
      <c r="B154" s="103" t="s">
        <v>189</v>
      </c>
      <c r="C154" s="105" t="s">
        <v>842</v>
      </c>
      <c r="D154" s="103" t="s">
        <v>190</v>
      </c>
      <c r="E154" s="102" t="s">
        <v>191</v>
      </c>
      <c r="F154" s="102">
        <v>750</v>
      </c>
      <c r="G154" s="42" t="s">
        <v>328</v>
      </c>
    </row>
    <row r="155" spans="2:7" s="4" customFormat="1" x14ac:dyDescent="0.25">
      <c r="B155" s="103"/>
      <c r="C155" s="105"/>
      <c r="D155" s="103"/>
      <c r="E155" s="102"/>
      <c r="F155" s="102"/>
      <c r="G155" s="42" t="s">
        <v>282</v>
      </c>
    </row>
    <row r="156" spans="2:7" s="4" customFormat="1" x14ac:dyDescent="0.25">
      <c r="B156" s="103"/>
      <c r="C156" s="105"/>
      <c r="D156" s="103"/>
      <c r="E156" s="102"/>
      <c r="F156" s="102"/>
      <c r="G156" s="42" t="s">
        <v>283</v>
      </c>
    </row>
    <row r="157" spans="2:7" s="4" customFormat="1" x14ac:dyDescent="0.25">
      <c r="B157" s="103"/>
      <c r="C157" s="105"/>
      <c r="D157" s="103"/>
      <c r="E157" s="102"/>
      <c r="F157" s="102"/>
      <c r="G157" s="42" t="s">
        <v>284</v>
      </c>
    </row>
    <row r="158" spans="2:7" s="4" customFormat="1" ht="30.75" customHeight="1" x14ac:dyDescent="0.25">
      <c r="B158" s="103" t="s">
        <v>192</v>
      </c>
      <c r="C158" s="105" t="s">
        <v>843</v>
      </c>
      <c r="D158" s="103" t="s">
        <v>193</v>
      </c>
      <c r="E158" s="102" t="s">
        <v>198</v>
      </c>
      <c r="F158" s="107">
        <v>260000</v>
      </c>
      <c r="G158" s="42" t="s">
        <v>1022</v>
      </c>
    </row>
    <row r="159" spans="2:7" s="4" customFormat="1" x14ac:dyDescent="0.25">
      <c r="B159" s="103"/>
      <c r="C159" s="105"/>
      <c r="D159" s="103"/>
      <c r="E159" s="102"/>
      <c r="F159" s="102"/>
      <c r="G159" s="42" t="s">
        <v>1023</v>
      </c>
    </row>
    <row r="160" spans="2:7" s="4" customFormat="1" ht="30" x14ac:dyDescent="0.25">
      <c r="B160" s="103"/>
      <c r="C160" s="105"/>
      <c r="D160" s="103"/>
      <c r="E160" s="102"/>
      <c r="F160" s="102"/>
      <c r="G160" s="42" t="s">
        <v>285</v>
      </c>
    </row>
    <row r="161" spans="2:7" s="4" customFormat="1" x14ac:dyDescent="0.25">
      <c r="B161" s="103"/>
      <c r="C161" s="105"/>
      <c r="D161" s="103"/>
      <c r="E161" s="102"/>
      <c r="F161" s="102"/>
      <c r="G161" s="42" t="s">
        <v>286</v>
      </c>
    </row>
    <row r="162" spans="2:7" s="4" customFormat="1" ht="46.5" customHeight="1" x14ac:dyDescent="0.25">
      <c r="B162" s="103" t="s">
        <v>194</v>
      </c>
      <c r="C162" s="105" t="s">
        <v>844</v>
      </c>
      <c r="D162" s="103" t="s">
        <v>195</v>
      </c>
      <c r="E162" s="102">
        <v>0</v>
      </c>
      <c r="F162" s="102">
        <v>20</v>
      </c>
      <c r="G162" s="42" t="s">
        <v>287</v>
      </c>
    </row>
    <row r="163" spans="2:7" s="4" customFormat="1" x14ac:dyDescent="0.25">
      <c r="B163" s="103"/>
      <c r="C163" s="105"/>
      <c r="D163" s="103"/>
      <c r="E163" s="102"/>
      <c r="F163" s="102"/>
      <c r="G163" s="42" t="s">
        <v>288</v>
      </c>
    </row>
    <row r="164" spans="2:7" s="4" customFormat="1" x14ac:dyDescent="0.25">
      <c r="B164" s="103"/>
      <c r="C164" s="105"/>
      <c r="D164" s="103"/>
      <c r="E164" s="102"/>
      <c r="F164" s="102"/>
      <c r="G164" s="42" t="s">
        <v>120</v>
      </c>
    </row>
    <row r="165" spans="2:7" s="4" customFormat="1" x14ac:dyDescent="0.25">
      <c r="B165" s="103"/>
      <c r="C165" s="105"/>
      <c r="D165" s="103"/>
      <c r="E165" s="102"/>
      <c r="F165" s="102"/>
      <c r="G165" s="42" t="s">
        <v>121</v>
      </c>
    </row>
    <row r="166" spans="2:7" s="4" customFormat="1" ht="46.5" customHeight="1" x14ac:dyDescent="0.25">
      <c r="B166" s="103" t="s">
        <v>196</v>
      </c>
      <c r="C166" s="105" t="s">
        <v>844</v>
      </c>
      <c r="D166" s="103" t="s">
        <v>197</v>
      </c>
      <c r="E166" s="102" t="s">
        <v>199</v>
      </c>
      <c r="F166" s="102">
        <v>2.8</v>
      </c>
      <c r="G166" s="42" t="s">
        <v>1031</v>
      </c>
    </row>
    <row r="167" spans="2:7" s="4" customFormat="1" x14ac:dyDescent="0.25">
      <c r="B167" s="103"/>
      <c r="C167" s="105"/>
      <c r="D167" s="103"/>
      <c r="E167" s="102"/>
      <c r="F167" s="102"/>
      <c r="G167" s="42" t="s">
        <v>1032</v>
      </c>
    </row>
    <row r="168" spans="2:7" s="4" customFormat="1" x14ac:dyDescent="0.25">
      <c r="B168" s="103"/>
      <c r="C168" s="105"/>
      <c r="D168" s="103"/>
      <c r="E168" s="102"/>
      <c r="F168" s="102"/>
      <c r="G168" s="42" t="s">
        <v>289</v>
      </c>
    </row>
    <row r="169" spans="2:7" s="4" customFormat="1" x14ac:dyDescent="0.25">
      <c r="B169" s="103"/>
      <c r="C169" s="105"/>
      <c r="D169" s="103"/>
      <c r="E169" s="102"/>
      <c r="F169" s="102"/>
      <c r="G169" s="42" t="s">
        <v>329</v>
      </c>
    </row>
    <row r="170" spans="2:7" s="4" customFormat="1" ht="45" x14ac:dyDescent="0.25">
      <c r="B170" s="31"/>
      <c r="C170" s="31" t="s">
        <v>200</v>
      </c>
      <c r="D170" s="31"/>
      <c r="E170" s="31"/>
      <c r="F170" s="31"/>
      <c r="G170" s="31"/>
    </row>
    <row r="171" spans="2:7" s="4" customFormat="1" ht="46.5" customHeight="1" x14ac:dyDescent="0.25">
      <c r="B171" s="103" t="s">
        <v>201</v>
      </c>
      <c r="C171" s="106" t="s">
        <v>845</v>
      </c>
      <c r="D171" s="103" t="s">
        <v>203</v>
      </c>
      <c r="E171" s="102" t="s">
        <v>141</v>
      </c>
      <c r="F171" s="102">
        <v>50</v>
      </c>
      <c r="G171" s="42" t="s">
        <v>330</v>
      </c>
    </row>
    <row r="172" spans="2:7" s="4" customFormat="1" x14ac:dyDescent="0.25">
      <c r="B172" s="103"/>
      <c r="C172" s="106"/>
      <c r="D172" s="103"/>
      <c r="E172" s="102"/>
      <c r="F172" s="102"/>
      <c r="G172" s="42" t="s">
        <v>290</v>
      </c>
    </row>
    <row r="173" spans="2:7" s="4" customFormat="1" x14ac:dyDescent="0.25">
      <c r="B173" s="103"/>
      <c r="C173" s="106"/>
      <c r="D173" s="103"/>
      <c r="E173" s="102"/>
      <c r="F173" s="102"/>
      <c r="G173" s="42" t="s">
        <v>291</v>
      </c>
    </row>
    <row r="174" spans="2:7" s="4" customFormat="1" x14ac:dyDescent="0.25">
      <c r="B174" s="103"/>
      <c r="C174" s="106"/>
      <c r="D174" s="103"/>
      <c r="E174" s="102"/>
      <c r="F174" s="102"/>
      <c r="G174" s="42" t="s">
        <v>292</v>
      </c>
    </row>
    <row r="175" spans="2:7" s="4" customFormat="1" ht="141" customHeight="1" x14ac:dyDescent="0.25">
      <c r="B175" s="103" t="s">
        <v>202</v>
      </c>
      <c r="C175" s="106" t="s">
        <v>863</v>
      </c>
      <c r="D175" s="103" t="s">
        <v>204</v>
      </c>
      <c r="E175" s="102" t="s">
        <v>205</v>
      </c>
      <c r="F175" s="102">
        <v>20</v>
      </c>
      <c r="G175" s="42" t="s">
        <v>287</v>
      </c>
    </row>
    <row r="176" spans="2:7" s="4" customFormat="1" x14ac:dyDescent="0.25">
      <c r="B176" s="103"/>
      <c r="C176" s="106"/>
      <c r="D176" s="103"/>
      <c r="E176" s="102"/>
      <c r="F176" s="102"/>
      <c r="G176" s="42" t="s">
        <v>293</v>
      </c>
    </row>
    <row r="177" spans="2:7" s="4" customFormat="1" x14ac:dyDescent="0.25">
      <c r="B177" s="103"/>
      <c r="C177" s="106"/>
      <c r="D177" s="103"/>
      <c r="E177" s="102"/>
      <c r="F177" s="102"/>
      <c r="G177" s="42" t="s">
        <v>294</v>
      </c>
    </row>
    <row r="178" spans="2:7" s="4" customFormat="1" x14ac:dyDescent="0.25">
      <c r="B178" s="103"/>
      <c r="C178" s="106"/>
      <c r="D178" s="103"/>
      <c r="E178" s="102"/>
      <c r="F178" s="102"/>
      <c r="G178" s="42" t="s">
        <v>295</v>
      </c>
    </row>
    <row r="179" spans="2:7" s="4" customFormat="1" ht="45" x14ac:dyDescent="0.25">
      <c r="B179" s="31"/>
      <c r="C179" s="31" t="s">
        <v>206</v>
      </c>
      <c r="D179" s="31"/>
      <c r="E179" s="31"/>
      <c r="F179" s="31"/>
      <c r="G179" s="31"/>
    </row>
    <row r="180" spans="2:7" s="4" customFormat="1" ht="109.5" customHeight="1" x14ac:dyDescent="0.25">
      <c r="B180" s="103" t="s">
        <v>207</v>
      </c>
      <c r="C180" s="105" t="s">
        <v>846</v>
      </c>
      <c r="D180" s="103" t="s">
        <v>208</v>
      </c>
      <c r="E180" s="102" t="s">
        <v>141</v>
      </c>
      <c r="F180" s="102">
        <v>10</v>
      </c>
      <c r="G180" s="42" t="s">
        <v>324</v>
      </c>
    </row>
    <row r="181" spans="2:7" s="4" customFormat="1" x14ac:dyDescent="0.25">
      <c r="B181" s="103"/>
      <c r="C181" s="105"/>
      <c r="D181" s="103"/>
      <c r="E181" s="102"/>
      <c r="F181" s="102"/>
      <c r="G181" s="42" t="s">
        <v>296</v>
      </c>
    </row>
    <row r="182" spans="2:7" s="4" customFormat="1" x14ac:dyDescent="0.25">
      <c r="B182" s="103"/>
      <c r="C182" s="105"/>
      <c r="D182" s="103"/>
      <c r="E182" s="102"/>
      <c r="F182" s="102"/>
      <c r="G182" s="42" t="s">
        <v>297</v>
      </c>
    </row>
    <row r="183" spans="2:7" s="4" customFormat="1" x14ac:dyDescent="0.25">
      <c r="B183" s="103"/>
      <c r="C183" s="105"/>
      <c r="D183" s="103"/>
      <c r="E183" s="102"/>
      <c r="F183" s="102"/>
      <c r="G183" s="42" t="s">
        <v>298</v>
      </c>
    </row>
    <row r="184" spans="2:7" s="4" customFormat="1" ht="109.5" customHeight="1" x14ac:dyDescent="0.25">
      <c r="B184" s="103" t="s">
        <v>209</v>
      </c>
      <c r="C184" s="105" t="s">
        <v>846</v>
      </c>
      <c r="D184" s="103" t="s">
        <v>210</v>
      </c>
      <c r="E184" s="102" t="s">
        <v>222</v>
      </c>
      <c r="F184" s="102">
        <v>200</v>
      </c>
      <c r="G184" s="42" t="s">
        <v>261</v>
      </c>
    </row>
    <row r="185" spans="2:7" s="4" customFormat="1" x14ac:dyDescent="0.25">
      <c r="B185" s="103"/>
      <c r="C185" s="105"/>
      <c r="D185" s="103"/>
      <c r="E185" s="102"/>
      <c r="F185" s="102"/>
      <c r="G185" s="42" t="s">
        <v>299</v>
      </c>
    </row>
    <row r="186" spans="2:7" s="4" customFormat="1" ht="30" x14ac:dyDescent="0.25">
      <c r="B186" s="103"/>
      <c r="C186" s="105"/>
      <c r="D186" s="103"/>
      <c r="E186" s="102"/>
      <c r="F186" s="102"/>
      <c r="G186" s="42" t="s">
        <v>300</v>
      </c>
    </row>
    <row r="187" spans="2:7" s="4" customFormat="1" x14ac:dyDescent="0.25">
      <c r="B187" s="103"/>
      <c r="C187" s="105"/>
      <c r="D187" s="103"/>
      <c r="E187" s="102"/>
      <c r="F187" s="102"/>
      <c r="G187" s="42" t="s">
        <v>331</v>
      </c>
    </row>
    <row r="188" spans="2:7" s="4" customFormat="1" ht="93.75" customHeight="1" x14ac:dyDescent="0.25">
      <c r="B188" s="103" t="s">
        <v>211</v>
      </c>
      <c r="C188" s="105" t="s">
        <v>847</v>
      </c>
      <c r="D188" s="103" t="s">
        <v>212</v>
      </c>
      <c r="E188" s="102" t="s">
        <v>223</v>
      </c>
      <c r="F188" s="102">
        <v>0.01</v>
      </c>
      <c r="G188" s="42" t="s">
        <v>301</v>
      </c>
    </row>
    <row r="189" spans="2:7" s="4" customFormat="1" x14ac:dyDescent="0.25">
      <c r="B189" s="103"/>
      <c r="C189" s="105"/>
      <c r="D189" s="103"/>
      <c r="E189" s="102"/>
      <c r="F189" s="102"/>
      <c r="G189" s="42" t="s">
        <v>302</v>
      </c>
    </row>
    <row r="190" spans="2:7" s="4" customFormat="1" ht="30" x14ac:dyDescent="0.25">
      <c r="B190" s="103"/>
      <c r="C190" s="105"/>
      <c r="D190" s="103"/>
      <c r="E190" s="102"/>
      <c r="F190" s="102"/>
      <c r="G190" s="42" t="s">
        <v>303</v>
      </c>
    </row>
    <row r="191" spans="2:7" s="4" customFormat="1" x14ac:dyDescent="0.25">
      <c r="B191" s="103"/>
      <c r="C191" s="105"/>
      <c r="D191" s="103"/>
      <c r="E191" s="102"/>
      <c r="F191" s="102"/>
      <c r="G191" s="42" t="s">
        <v>304</v>
      </c>
    </row>
    <row r="192" spans="2:7" s="4" customFormat="1" ht="46.5" customHeight="1" x14ac:dyDescent="0.25">
      <c r="B192" s="103" t="s">
        <v>213</v>
      </c>
      <c r="C192" s="105" t="s">
        <v>847</v>
      </c>
      <c r="D192" s="103" t="s">
        <v>214</v>
      </c>
      <c r="E192" s="102" t="s">
        <v>141</v>
      </c>
      <c r="F192" s="102">
        <v>250</v>
      </c>
      <c r="G192" s="42" t="s">
        <v>1060</v>
      </c>
    </row>
    <row r="193" spans="2:7" s="4" customFormat="1" x14ac:dyDescent="0.25">
      <c r="B193" s="103"/>
      <c r="C193" s="105"/>
      <c r="D193" s="103"/>
      <c r="E193" s="102"/>
      <c r="F193" s="102"/>
      <c r="G193" s="42" t="s">
        <v>1061</v>
      </c>
    </row>
    <row r="194" spans="2:7" s="4" customFormat="1" x14ac:dyDescent="0.25">
      <c r="B194" s="103"/>
      <c r="C194" s="105"/>
      <c r="D194" s="103"/>
      <c r="E194" s="102"/>
      <c r="F194" s="102"/>
      <c r="G194" s="42" t="s">
        <v>305</v>
      </c>
    </row>
    <row r="195" spans="2:7" s="4" customFormat="1" x14ac:dyDescent="0.25">
      <c r="B195" s="103"/>
      <c r="C195" s="105"/>
      <c r="D195" s="103"/>
      <c r="E195" s="102"/>
      <c r="F195" s="102"/>
      <c r="G195" s="42" t="s">
        <v>306</v>
      </c>
    </row>
    <row r="196" spans="2:7" s="4" customFormat="1" ht="46.5" customHeight="1" x14ac:dyDescent="0.25">
      <c r="B196" s="103" t="s">
        <v>215</v>
      </c>
      <c r="C196" s="105" t="s">
        <v>848</v>
      </c>
      <c r="D196" s="103" t="s">
        <v>216</v>
      </c>
      <c r="E196" s="102" t="s">
        <v>141</v>
      </c>
      <c r="F196" s="102">
        <v>350</v>
      </c>
      <c r="G196" s="42" t="s">
        <v>1075</v>
      </c>
    </row>
    <row r="197" spans="2:7" s="4" customFormat="1" x14ac:dyDescent="0.25">
      <c r="B197" s="103"/>
      <c r="C197" s="105"/>
      <c r="D197" s="103"/>
      <c r="E197" s="102"/>
      <c r="F197" s="102"/>
      <c r="G197" s="42" t="s">
        <v>1076</v>
      </c>
    </row>
    <row r="198" spans="2:7" s="4" customFormat="1" x14ac:dyDescent="0.25">
      <c r="B198" s="103"/>
      <c r="C198" s="105"/>
      <c r="D198" s="103"/>
      <c r="E198" s="102"/>
      <c r="F198" s="102"/>
      <c r="G198" s="42" t="s">
        <v>307</v>
      </c>
    </row>
    <row r="199" spans="2:7" s="4" customFormat="1" x14ac:dyDescent="0.25">
      <c r="B199" s="103"/>
      <c r="C199" s="105"/>
      <c r="D199" s="103"/>
      <c r="E199" s="102"/>
      <c r="F199" s="102"/>
      <c r="G199" s="42" t="s">
        <v>308</v>
      </c>
    </row>
    <row r="200" spans="2:7" s="4" customFormat="1" ht="405" x14ac:dyDescent="0.25">
      <c r="B200" s="42" t="s">
        <v>217</v>
      </c>
      <c r="C200" s="45" t="s">
        <v>848</v>
      </c>
      <c r="D200" s="46" t="s">
        <v>168</v>
      </c>
      <c r="E200" s="31" t="s">
        <v>141</v>
      </c>
      <c r="F200" s="31" t="s">
        <v>141</v>
      </c>
      <c r="G200" s="46" t="s">
        <v>264</v>
      </c>
    </row>
    <row r="201" spans="2:7" s="4" customFormat="1" ht="46.5" customHeight="1" x14ac:dyDescent="0.25">
      <c r="B201" s="103" t="s">
        <v>218</v>
      </c>
      <c r="C201" s="105" t="s">
        <v>848</v>
      </c>
      <c r="D201" s="103" t="s">
        <v>219</v>
      </c>
      <c r="E201" s="102" t="s">
        <v>141</v>
      </c>
      <c r="F201" s="102">
        <v>35</v>
      </c>
      <c r="G201" s="42" t="s">
        <v>1090</v>
      </c>
    </row>
    <row r="202" spans="2:7" s="4" customFormat="1" x14ac:dyDescent="0.25">
      <c r="B202" s="103"/>
      <c r="C202" s="105"/>
      <c r="D202" s="103"/>
      <c r="E202" s="102"/>
      <c r="F202" s="102"/>
      <c r="G202" s="42" t="s">
        <v>1091</v>
      </c>
    </row>
    <row r="203" spans="2:7" s="4" customFormat="1" x14ac:dyDescent="0.25">
      <c r="B203" s="103"/>
      <c r="C203" s="105"/>
      <c r="D203" s="103"/>
      <c r="E203" s="102"/>
      <c r="F203" s="102"/>
      <c r="G203" s="42" t="s">
        <v>120</v>
      </c>
    </row>
    <row r="204" spans="2:7" s="4" customFormat="1" x14ac:dyDescent="0.25">
      <c r="B204" s="103"/>
      <c r="C204" s="105"/>
      <c r="D204" s="103"/>
      <c r="E204" s="102"/>
      <c r="F204" s="102"/>
      <c r="G204" s="42" t="s">
        <v>121</v>
      </c>
    </row>
    <row r="205" spans="2:7" s="4" customFormat="1" ht="46.5" customHeight="1" x14ac:dyDescent="0.25">
      <c r="B205" s="103" t="s">
        <v>220</v>
      </c>
      <c r="C205" s="105" t="s">
        <v>849</v>
      </c>
      <c r="D205" s="103" t="s">
        <v>221</v>
      </c>
      <c r="E205" s="102" t="s">
        <v>141</v>
      </c>
      <c r="F205" s="102">
        <v>43</v>
      </c>
      <c r="G205" s="42" t="s">
        <v>332</v>
      </c>
    </row>
    <row r="206" spans="2:7" s="4" customFormat="1" x14ac:dyDescent="0.25">
      <c r="B206" s="103"/>
      <c r="C206" s="105"/>
      <c r="D206" s="103"/>
      <c r="E206" s="102"/>
      <c r="F206" s="102"/>
      <c r="G206" s="42" t="s">
        <v>309</v>
      </c>
    </row>
    <row r="207" spans="2:7" s="4" customFormat="1" x14ac:dyDescent="0.25">
      <c r="B207" s="103"/>
      <c r="C207" s="105"/>
      <c r="D207" s="103"/>
      <c r="E207" s="102"/>
      <c r="F207" s="102"/>
      <c r="G207" s="42" t="s">
        <v>310</v>
      </c>
    </row>
    <row r="208" spans="2:7" s="4" customFormat="1" x14ac:dyDescent="0.25">
      <c r="B208" s="103"/>
      <c r="C208" s="105"/>
      <c r="D208" s="103"/>
      <c r="E208" s="102"/>
      <c r="F208" s="102"/>
      <c r="G208" s="42" t="s">
        <v>311</v>
      </c>
    </row>
    <row r="209" spans="2:7" s="4" customFormat="1" ht="75" x14ac:dyDescent="0.25">
      <c r="B209" s="31"/>
      <c r="C209" s="31" t="s">
        <v>224</v>
      </c>
      <c r="D209" s="31"/>
      <c r="E209" s="31"/>
      <c r="F209" s="31"/>
      <c r="G209" s="35"/>
    </row>
    <row r="210" spans="2:7" s="4" customFormat="1" ht="219.75" customHeight="1" x14ac:dyDescent="0.25">
      <c r="B210" s="103" t="s">
        <v>225</v>
      </c>
      <c r="C210" s="104" t="s">
        <v>850</v>
      </c>
      <c r="D210" s="103" t="s">
        <v>226</v>
      </c>
      <c r="E210" s="102" t="s">
        <v>141</v>
      </c>
      <c r="F210" s="102">
        <v>228</v>
      </c>
      <c r="G210" s="42" t="s">
        <v>1108</v>
      </c>
    </row>
    <row r="211" spans="2:7" s="4" customFormat="1" x14ac:dyDescent="0.25">
      <c r="B211" s="103"/>
      <c r="C211" s="104"/>
      <c r="D211" s="103"/>
      <c r="E211" s="102"/>
      <c r="F211" s="102"/>
      <c r="G211" s="42" t="s">
        <v>1109</v>
      </c>
    </row>
    <row r="212" spans="2:7" s="4" customFormat="1" x14ac:dyDescent="0.25">
      <c r="B212" s="103"/>
      <c r="C212" s="104"/>
      <c r="D212" s="103"/>
      <c r="E212" s="102"/>
      <c r="F212" s="102"/>
      <c r="G212" s="42" t="s">
        <v>312</v>
      </c>
    </row>
    <row r="213" spans="2:7" s="4" customFormat="1" x14ac:dyDescent="0.25">
      <c r="B213" s="103"/>
      <c r="C213" s="104"/>
      <c r="D213" s="103"/>
      <c r="E213" s="102"/>
      <c r="F213" s="102"/>
      <c r="G213" s="42" t="s">
        <v>313</v>
      </c>
    </row>
    <row r="214" spans="2:7" s="4" customFormat="1" ht="30.75" customHeight="1" x14ac:dyDescent="0.25">
      <c r="B214" s="103" t="s">
        <v>227</v>
      </c>
      <c r="C214" s="105" t="s">
        <v>851</v>
      </c>
      <c r="D214" s="103" t="s">
        <v>228</v>
      </c>
      <c r="E214" s="102">
        <v>0</v>
      </c>
      <c r="F214" s="102">
        <v>10</v>
      </c>
      <c r="G214" s="42" t="s">
        <v>324</v>
      </c>
    </row>
    <row r="215" spans="2:7" s="4" customFormat="1" x14ac:dyDescent="0.25">
      <c r="B215" s="103"/>
      <c r="C215" s="105"/>
      <c r="D215" s="103"/>
      <c r="E215" s="102"/>
      <c r="F215" s="102"/>
      <c r="G215" s="42" t="s">
        <v>296</v>
      </c>
    </row>
    <row r="216" spans="2:7" s="4" customFormat="1" x14ac:dyDescent="0.25">
      <c r="B216" s="103"/>
      <c r="C216" s="105"/>
      <c r="D216" s="103"/>
      <c r="E216" s="102"/>
      <c r="F216" s="102"/>
      <c r="G216" s="42" t="s">
        <v>297</v>
      </c>
    </row>
    <row r="217" spans="2:7" s="4" customFormat="1" x14ac:dyDescent="0.25">
      <c r="B217" s="103"/>
      <c r="C217" s="105"/>
      <c r="D217" s="103"/>
      <c r="E217" s="102"/>
      <c r="F217" s="102"/>
      <c r="G217" s="42" t="s">
        <v>298</v>
      </c>
    </row>
    <row r="218" spans="2:7" ht="54" customHeight="1" x14ac:dyDescent="0.25">
      <c r="B218" s="114" t="s">
        <v>15</v>
      </c>
      <c r="C218" s="114"/>
      <c r="D218" s="114"/>
      <c r="E218" s="114"/>
      <c r="F218" s="114"/>
      <c r="G218" s="114"/>
    </row>
  </sheetData>
  <mergeCells count="235">
    <mergeCell ref="G1:H1"/>
    <mergeCell ref="C15:C18"/>
    <mergeCell ref="D15:D18"/>
    <mergeCell ref="E15:E18"/>
    <mergeCell ref="F15:F18"/>
    <mergeCell ref="F2:G2"/>
    <mergeCell ref="F3:G3"/>
    <mergeCell ref="F4:G4"/>
    <mergeCell ref="B6:G6"/>
    <mergeCell ref="B8:G8"/>
    <mergeCell ref="B10:G10"/>
    <mergeCell ref="B15:B18"/>
    <mergeCell ref="B218:G218"/>
    <mergeCell ref="B68:B71"/>
    <mergeCell ref="C68:C71"/>
    <mergeCell ref="D68:D71"/>
    <mergeCell ref="E68:E71"/>
    <mergeCell ref="F68:F71"/>
    <mergeCell ref="B19:B22"/>
    <mergeCell ref="C19:C22"/>
    <mergeCell ref="D19:D22"/>
    <mergeCell ref="E19:E22"/>
    <mergeCell ref="F19:F22"/>
    <mergeCell ref="B23:B26"/>
    <mergeCell ref="C23:C26"/>
    <mergeCell ref="B32:B35"/>
    <mergeCell ref="C32:C35"/>
    <mergeCell ref="D32:D35"/>
    <mergeCell ref="D23:D26"/>
    <mergeCell ref="E23:E26"/>
    <mergeCell ref="B36:B39"/>
    <mergeCell ref="C36:C39"/>
    <mergeCell ref="D36:D39"/>
    <mergeCell ref="B40:B43"/>
    <mergeCell ref="C40:C43"/>
    <mergeCell ref="D40:D43"/>
    <mergeCell ref="E40:E43"/>
    <mergeCell ref="F40:F43"/>
    <mergeCell ref="E44:E47"/>
    <mergeCell ref="F44:F47"/>
    <mergeCell ref="E32:E35"/>
    <mergeCell ref="F32:F35"/>
    <mergeCell ref="E36:E39"/>
    <mergeCell ref="F36:F39"/>
    <mergeCell ref="F23:F26"/>
    <mergeCell ref="B27:B30"/>
    <mergeCell ref="C27:C30"/>
    <mergeCell ref="D27:D30"/>
    <mergeCell ref="E27:E30"/>
    <mergeCell ref="F27:F30"/>
    <mergeCell ref="B44:B47"/>
    <mergeCell ref="C44:C47"/>
    <mergeCell ref="D44:D47"/>
    <mergeCell ref="F85:F88"/>
    <mergeCell ref="E85:E88"/>
    <mergeCell ref="B81:B84"/>
    <mergeCell ref="C81:C84"/>
    <mergeCell ref="D81:D84"/>
    <mergeCell ref="F81:F84"/>
    <mergeCell ref="E81:E84"/>
    <mergeCell ref="F72:F75"/>
    <mergeCell ref="E72:E75"/>
    <mergeCell ref="B76:B79"/>
    <mergeCell ref="C76:C79"/>
    <mergeCell ref="D76:D79"/>
    <mergeCell ref="F76:F79"/>
    <mergeCell ref="E76:E79"/>
    <mergeCell ref="B72:B75"/>
    <mergeCell ref="C72:C75"/>
    <mergeCell ref="D72:D75"/>
    <mergeCell ref="B61:G61"/>
    <mergeCell ref="B62:G62"/>
    <mergeCell ref="B57:B60"/>
    <mergeCell ref="C57:C60"/>
    <mergeCell ref="D57:D60"/>
    <mergeCell ref="F57:F60"/>
    <mergeCell ref="E57:E60"/>
    <mergeCell ref="E48:E51"/>
    <mergeCell ref="E53:E56"/>
    <mergeCell ref="B48:B51"/>
    <mergeCell ref="C48:C51"/>
    <mergeCell ref="D48:D51"/>
    <mergeCell ref="F48:F51"/>
    <mergeCell ref="B53:B56"/>
    <mergeCell ref="C53:C56"/>
    <mergeCell ref="D53:D56"/>
    <mergeCell ref="F53:F56"/>
    <mergeCell ref="B90:B93"/>
    <mergeCell ref="C90:C93"/>
    <mergeCell ref="D90:D93"/>
    <mergeCell ref="B94:B97"/>
    <mergeCell ref="C94:C97"/>
    <mergeCell ref="D94:D97"/>
    <mergeCell ref="B85:B88"/>
    <mergeCell ref="C85:C88"/>
    <mergeCell ref="D85:D88"/>
    <mergeCell ref="B111:B114"/>
    <mergeCell ref="C111:C114"/>
    <mergeCell ref="D111:D114"/>
    <mergeCell ref="E111:E114"/>
    <mergeCell ref="F111:F114"/>
    <mergeCell ref="B106:B109"/>
    <mergeCell ref="C106:C109"/>
    <mergeCell ref="D106:D109"/>
    <mergeCell ref="F90:F93"/>
    <mergeCell ref="F94:F97"/>
    <mergeCell ref="F98:F101"/>
    <mergeCell ref="F102:F105"/>
    <mergeCell ref="F106:F109"/>
    <mergeCell ref="E106:E109"/>
    <mergeCell ref="E102:E105"/>
    <mergeCell ref="E98:E101"/>
    <mergeCell ref="E94:E97"/>
    <mergeCell ref="E90:E93"/>
    <mergeCell ref="B98:B101"/>
    <mergeCell ref="C98:C101"/>
    <mergeCell ref="D98:D101"/>
    <mergeCell ref="B102:B105"/>
    <mergeCell ref="C102:C105"/>
    <mergeCell ref="D102:D105"/>
    <mergeCell ref="F115:F118"/>
    <mergeCell ref="F119:F122"/>
    <mergeCell ref="E119:E122"/>
    <mergeCell ref="E115:E118"/>
    <mergeCell ref="B115:B118"/>
    <mergeCell ref="C115:C118"/>
    <mergeCell ref="D115:D118"/>
    <mergeCell ref="B119:B122"/>
    <mergeCell ref="C119:C122"/>
    <mergeCell ref="D119:D122"/>
    <mergeCell ref="F124:F127"/>
    <mergeCell ref="E124:E127"/>
    <mergeCell ref="F129:F132"/>
    <mergeCell ref="E129:E132"/>
    <mergeCell ref="B124:B127"/>
    <mergeCell ref="C124:C127"/>
    <mergeCell ref="D124:D127"/>
    <mergeCell ref="B129:B132"/>
    <mergeCell ref="C129:C132"/>
    <mergeCell ref="D129:D132"/>
    <mergeCell ref="F139:F142"/>
    <mergeCell ref="E139:E142"/>
    <mergeCell ref="F135:F138"/>
    <mergeCell ref="E135:E138"/>
    <mergeCell ref="B143:B146"/>
    <mergeCell ref="C143:C146"/>
    <mergeCell ref="D143:D146"/>
    <mergeCell ref="E143:E146"/>
    <mergeCell ref="F143:F146"/>
    <mergeCell ref="B135:B138"/>
    <mergeCell ref="C135:C138"/>
    <mergeCell ref="D135:D138"/>
    <mergeCell ref="B139:B142"/>
    <mergeCell ref="C139:C142"/>
    <mergeCell ref="D139:D142"/>
    <mergeCell ref="B154:B157"/>
    <mergeCell ref="C154:C157"/>
    <mergeCell ref="D154:D157"/>
    <mergeCell ref="F154:F157"/>
    <mergeCell ref="E154:E157"/>
    <mergeCell ref="B148:B151"/>
    <mergeCell ref="C148:C151"/>
    <mergeCell ref="D148:D151"/>
    <mergeCell ref="F148:F151"/>
    <mergeCell ref="E148:E151"/>
    <mergeCell ref="B166:B169"/>
    <mergeCell ref="C166:C169"/>
    <mergeCell ref="D166:D169"/>
    <mergeCell ref="F158:F161"/>
    <mergeCell ref="F162:F165"/>
    <mergeCell ref="F166:F169"/>
    <mergeCell ref="E166:E169"/>
    <mergeCell ref="E162:E165"/>
    <mergeCell ref="E158:E161"/>
    <mergeCell ref="B158:B161"/>
    <mergeCell ref="C158:C161"/>
    <mergeCell ref="D158:D161"/>
    <mergeCell ref="B162:B165"/>
    <mergeCell ref="C162:C165"/>
    <mergeCell ref="D162:D165"/>
    <mergeCell ref="B184:B187"/>
    <mergeCell ref="C184:C187"/>
    <mergeCell ref="D184:D187"/>
    <mergeCell ref="B188:B191"/>
    <mergeCell ref="C188:C191"/>
    <mergeCell ref="D188:D191"/>
    <mergeCell ref="F171:F174"/>
    <mergeCell ref="F175:F178"/>
    <mergeCell ref="E175:E178"/>
    <mergeCell ref="E171:E174"/>
    <mergeCell ref="B180:B183"/>
    <mergeCell ref="C180:C183"/>
    <mergeCell ref="D180:D183"/>
    <mergeCell ref="B171:B174"/>
    <mergeCell ref="C171:C174"/>
    <mergeCell ref="B175:B178"/>
    <mergeCell ref="C175:C178"/>
    <mergeCell ref="D171:D174"/>
    <mergeCell ref="D175:D178"/>
    <mergeCell ref="B201:B204"/>
    <mergeCell ref="C201:C204"/>
    <mergeCell ref="D201:D204"/>
    <mergeCell ref="B205:B208"/>
    <mergeCell ref="C205:C208"/>
    <mergeCell ref="D205:D208"/>
    <mergeCell ref="B192:B195"/>
    <mergeCell ref="C192:C195"/>
    <mergeCell ref="D192:D195"/>
    <mergeCell ref="B196:B199"/>
    <mergeCell ref="C196:C199"/>
    <mergeCell ref="D196:D199"/>
    <mergeCell ref="E201:E204"/>
    <mergeCell ref="F201:F204"/>
    <mergeCell ref="E205:E208"/>
    <mergeCell ref="F205:F208"/>
    <mergeCell ref="E184:E187"/>
    <mergeCell ref="F184:F187"/>
    <mergeCell ref="F180:F183"/>
    <mergeCell ref="E180:E183"/>
    <mergeCell ref="E196:E199"/>
    <mergeCell ref="F196:F199"/>
    <mergeCell ref="F192:F195"/>
    <mergeCell ref="E192:E195"/>
    <mergeCell ref="F188:F191"/>
    <mergeCell ref="E188:E191"/>
    <mergeCell ref="E210:E213"/>
    <mergeCell ref="F210:F213"/>
    <mergeCell ref="F214:F217"/>
    <mergeCell ref="E214:E217"/>
    <mergeCell ref="B210:B213"/>
    <mergeCell ref="C210:C213"/>
    <mergeCell ref="D210:D213"/>
    <mergeCell ref="B214:B217"/>
    <mergeCell ref="C214:C217"/>
    <mergeCell ref="D214:D217"/>
  </mergeCells>
  <pageMargins left="0.7" right="0.7" top="0.75" bottom="0.75" header="0.3" footer="0.3"/>
  <pageSetup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6"/>
  <sheetViews>
    <sheetView topLeftCell="A13" zoomScaleNormal="100" workbookViewId="0">
      <selection activeCell="A3" sqref="A1:XFD3"/>
    </sheetView>
  </sheetViews>
  <sheetFormatPr defaultRowHeight="15" x14ac:dyDescent="0.25"/>
  <cols>
    <col min="1" max="1" width="4.28515625" style="4" customWidth="1"/>
    <col min="3" max="3" width="23" customWidth="1"/>
    <col min="4" max="4" width="7.7109375" customWidth="1"/>
    <col min="5" max="5" width="3.42578125" style="4" customWidth="1"/>
    <col min="6" max="11" width="14.140625" customWidth="1"/>
    <col min="12" max="14" width="6.85546875" customWidth="1"/>
  </cols>
  <sheetData>
    <row r="1" spans="2:14" ht="15.75" hidden="1" x14ac:dyDescent="0.25">
      <c r="K1" s="116" t="s">
        <v>52</v>
      </c>
      <c r="L1" s="116"/>
      <c r="M1" s="116"/>
      <c r="N1" s="116"/>
    </row>
    <row r="2" spans="2:14" ht="15.75" hidden="1" x14ac:dyDescent="0.25">
      <c r="K2" s="117" t="s">
        <v>0</v>
      </c>
      <c r="L2" s="117"/>
      <c r="M2" s="117"/>
      <c r="N2" s="117"/>
    </row>
    <row r="3" spans="2:14" ht="15.75" hidden="1" x14ac:dyDescent="0.25">
      <c r="K3" s="117" t="s">
        <v>16</v>
      </c>
      <c r="L3" s="117"/>
      <c r="M3" s="117"/>
      <c r="N3" s="117"/>
    </row>
    <row r="4" spans="2:14" ht="15.75" x14ac:dyDescent="0.25">
      <c r="B4" s="12"/>
      <c r="C4" s="6"/>
      <c r="D4" s="6"/>
      <c r="E4" s="6"/>
      <c r="F4" s="6"/>
      <c r="G4" s="6"/>
      <c r="H4" s="6"/>
      <c r="I4" s="6"/>
      <c r="J4" s="6"/>
      <c r="K4" s="6"/>
      <c r="L4" s="6"/>
      <c r="M4" s="6"/>
      <c r="N4" s="6"/>
    </row>
    <row r="5" spans="2:14" ht="15.75" customHeight="1" x14ac:dyDescent="0.25">
      <c r="B5" s="125" t="s">
        <v>17</v>
      </c>
      <c r="C5" s="125"/>
      <c r="D5" s="125"/>
      <c r="E5" s="125"/>
      <c r="F5" s="125"/>
      <c r="G5" s="125"/>
      <c r="H5" s="125"/>
      <c r="I5" s="125"/>
      <c r="J5" s="125"/>
      <c r="K5" s="125"/>
      <c r="L5" s="125"/>
      <c r="M5" s="125"/>
      <c r="N5" s="125"/>
    </row>
    <row r="6" spans="2:14" ht="15.75" x14ac:dyDescent="0.25">
      <c r="B6" s="1"/>
      <c r="C6" s="13"/>
      <c r="D6" s="13"/>
      <c r="E6" s="22"/>
      <c r="F6" s="13"/>
      <c r="G6" s="13"/>
      <c r="H6" s="13"/>
      <c r="I6" s="14"/>
      <c r="J6" s="13"/>
      <c r="K6" s="13"/>
      <c r="L6" s="13"/>
      <c r="M6" s="13"/>
      <c r="N6" s="13"/>
    </row>
    <row r="7" spans="2:14" x14ac:dyDescent="0.25">
      <c r="B7" s="27" t="s">
        <v>18</v>
      </c>
      <c r="C7" s="28"/>
      <c r="D7" s="28"/>
      <c r="E7" s="28"/>
      <c r="F7" s="29"/>
      <c r="G7" s="29"/>
      <c r="H7" s="29"/>
      <c r="I7" s="29"/>
      <c r="J7" s="29"/>
      <c r="K7" s="29"/>
      <c r="L7" s="29"/>
      <c r="M7" s="29"/>
      <c r="N7" s="29"/>
    </row>
    <row r="8" spans="2:14" ht="28.5" x14ac:dyDescent="0.25">
      <c r="B8" s="30" t="s">
        <v>1</v>
      </c>
      <c r="C8" s="30" t="s">
        <v>19</v>
      </c>
      <c r="D8" s="30" t="s">
        <v>2</v>
      </c>
      <c r="E8" s="30"/>
      <c r="F8" s="30">
        <v>2015</v>
      </c>
      <c r="G8" s="30">
        <v>2016</v>
      </c>
      <c r="H8" s="30">
        <v>2017</v>
      </c>
      <c r="I8" s="30">
        <v>2018</v>
      </c>
      <c r="J8" s="30">
        <v>2019</v>
      </c>
      <c r="K8" s="30">
        <v>2020</v>
      </c>
      <c r="L8" s="30">
        <v>2021</v>
      </c>
      <c r="M8" s="30">
        <v>2022</v>
      </c>
      <c r="N8" s="30">
        <v>2023</v>
      </c>
    </row>
    <row r="9" spans="2:14" ht="78" customHeight="1" x14ac:dyDescent="0.25">
      <c r="B9" s="120" t="s">
        <v>55</v>
      </c>
      <c r="C9" s="120" t="s">
        <v>56</v>
      </c>
      <c r="D9" s="120"/>
      <c r="E9" s="25" t="s">
        <v>333</v>
      </c>
      <c r="F9" s="26" t="s">
        <v>1133</v>
      </c>
      <c r="G9" s="26" t="s">
        <v>1134</v>
      </c>
      <c r="H9" s="26" t="s">
        <v>1135</v>
      </c>
      <c r="I9" s="26" t="s">
        <v>1136</v>
      </c>
      <c r="J9" s="26" t="s">
        <v>341</v>
      </c>
      <c r="K9" s="26">
        <v>100</v>
      </c>
      <c r="L9" s="25"/>
      <c r="M9" s="25"/>
      <c r="N9" s="25"/>
    </row>
    <row r="10" spans="2:14" x14ac:dyDescent="0.25">
      <c r="B10" s="120"/>
      <c r="C10" s="120"/>
      <c r="D10" s="120"/>
      <c r="E10" s="25" t="s">
        <v>334</v>
      </c>
      <c r="F10" s="26" t="s">
        <v>336</v>
      </c>
      <c r="G10" s="26" t="s">
        <v>337</v>
      </c>
      <c r="H10" s="26" t="s">
        <v>338</v>
      </c>
      <c r="I10" s="26" t="s">
        <v>339</v>
      </c>
      <c r="J10" s="26" t="s">
        <v>340</v>
      </c>
      <c r="K10" s="26" t="s">
        <v>341</v>
      </c>
      <c r="L10" s="25"/>
      <c r="M10" s="25"/>
      <c r="N10" s="25"/>
    </row>
    <row r="11" spans="2:14" x14ac:dyDescent="0.25">
      <c r="B11" s="120"/>
      <c r="C11" s="120"/>
      <c r="D11" s="120"/>
      <c r="E11" s="25" t="s">
        <v>335</v>
      </c>
      <c r="F11" s="26" t="s">
        <v>342</v>
      </c>
      <c r="G11" s="26" t="s">
        <v>343</v>
      </c>
      <c r="H11" s="26" t="s">
        <v>344</v>
      </c>
      <c r="I11" s="26" t="s">
        <v>345</v>
      </c>
      <c r="J11" s="26" t="s">
        <v>346</v>
      </c>
      <c r="K11" s="26" t="s">
        <v>347</v>
      </c>
      <c r="L11" s="25"/>
      <c r="M11" s="25"/>
      <c r="N11" s="25"/>
    </row>
    <row r="12" spans="2:14" ht="62.25" customHeight="1" x14ac:dyDescent="0.25">
      <c r="B12" s="120" t="s">
        <v>58</v>
      </c>
      <c r="C12" s="120" t="s">
        <v>59</v>
      </c>
      <c r="D12" s="120"/>
      <c r="E12" s="25" t="s">
        <v>333</v>
      </c>
      <c r="F12" s="26" t="s">
        <v>894</v>
      </c>
      <c r="G12" s="26" t="s">
        <v>897</v>
      </c>
      <c r="H12" s="26" t="s">
        <v>900</v>
      </c>
      <c r="I12" s="26" t="s">
        <v>903</v>
      </c>
      <c r="J12" s="26" t="s">
        <v>906</v>
      </c>
      <c r="K12" s="26" t="s">
        <v>909</v>
      </c>
      <c r="L12" s="25"/>
      <c r="M12" s="25"/>
      <c r="N12" s="25"/>
    </row>
    <row r="13" spans="2:14" x14ac:dyDescent="0.25">
      <c r="B13" s="120"/>
      <c r="C13" s="120"/>
      <c r="D13" s="120"/>
      <c r="E13" s="25" t="s">
        <v>334</v>
      </c>
      <c r="F13" s="26" t="s">
        <v>893</v>
      </c>
      <c r="G13" s="26" t="s">
        <v>896</v>
      </c>
      <c r="H13" s="26" t="s">
        <v>899</v>
      </c>
      <c r="I13" s="26" t="s">
        <v>902</v>
      </c>
      <c r="J13" s="26" t="s">
        <v>905</v>
      </c>
      <c r="K13" s="26" t="s">
        <v>908</v>
      </c>
      <c r="L13" s="25"/>
      <c r="M13" s="25"/>
      <c r="N13" s="25"/>
    </row>
    <row r="14" spans="2:14" x14ac:dyDescent="0.25">
      <c r="B14" s="120"/>
      <c r="C14" s="120"/>
      <c r="D14" s="120"/>
      <c r="E14" s="25" t="s">
        <v>335</v>
      </c>
      <c r="F14" s="26" t="s">
        <v>348</v>
      </c>
      <c r="G14" s="26" t="s">
        <v>895</v>
      </c>
      <c r="H14" s="26" t="s">
        <v>898</v>
      </c>
      <c r="I14" s="26" t="s">
        <v>901</v>
      </c>
      <c r="J14" s="26" t="s">
        <v>904</v>
      </c>
      <c r="K14" s="26" t="s">
        <v>907</v>
      </c>
      <c r="L14" s="25"/>
      <c r="M14" s="25"/>
      <c r="N14" s="25"/>
    </row>
    <row r="15" spans="2:14" ht="63.75" customHeight="1" x14ac:dyDescent="0.25">
      <c r="B15" s="120" t="s">
        <v>61</v>
      </c>
      <c r="C15" s="121" t="s">
        <v>429</v>
      </c>
      <c r="D15" s="124"/>
      <c r="E15" s="25" t="s">
        <v>333</v>
      </c>
      <c r="F15" s="26" t="s">
        <v>349</v>
      </c>
      <c r="G15" s="26" t="s">
        <v>350</v>
      </c>
      <c r="H15" s="26" t="s">
        <v>351</v>
      </c>
      <c r="I15" s="26" t="s">
        <v>918</v>
      </c>
      <c r="J15" s="26" t="s">
        <v>915</v>
      </c>
      <c r="K15" s="26" t="s">
        <v>912</v>
      </c>
      <c r="L15" s="30"/>
      <c r="M15" s="30"/>
      <c r="N15" s="30"/>
    </row>
    <row r="16" spans="2:14" s="4" customFormat="1" x14ac:dyDescent="0.25">
      <c r="B16" s="120"/>
      <c r="C16" s="121"/>
      <c r="D16" s="124"/>
      <c r="E16" s="25" t="s">
        <v>334</v>
      </c>
      <c r="F16" s="26" t="s">
        <v>352</v>
      </c>
      <c r="G16" s="26" t="s">
        <v>353</v>
      </c>
      <c r="H16" s="26" t="s">
        <v>354</v>
      </c>
      <c r="I16" s="26" t="s">
        <v>919</v>
      </c>
      <c r="J16" s="26" t="s">
        <v>916</v>
      </c>
      <c r="K16" s="26" t="s">
        <v>913</v>
      </c>
      <c r="L16" s="30"/>
      <c r="M16" s="30"/>
      <c r="N16" s="30"/>
    </row>
    <row r="17" spans="2:14" s="4" customFormat="1" x14ac:dyDescent="0.25">
      <c r="B17" s="120"/>
      <c r="C17" s="121"/>
      <c r="D17" s="124"/>
      <c r="E17" s="120" t="s">
        <v>335</v>
      </c>
      <c r="F17" s="121" t="s">
        <v>355</v>
      </c>
      <c r="G17" s="121" t="s">
        <v>356</v>
      </c>
      <c r="H17" s="121" t="s">
        <v>357</v>
      </c>
      <c r="I17" s="121" t="s">
        <v>358</v>
      </c>
      <c r="J17" s="121" t="s">
        <v>917</v>
      </c>
      <c r="K17" s="121" t="s">
        <v>914</v>
      </c>
      <c r="L17" s="124"/>
      <c r="M17" s="124"/>
      <c r="N17" s="124"/>
    </row>
    <row r="18" spans="2:14" s="4" customFormat="1" x14ac:dyDescent="0.25">
      <c r="B18" s="120"/>
      <c r="C18" s="121"/>
      <c r="D18" s="124"/>
      <c r="E18" s="120"/>
      <c r="F18" s="121"/>
      <c r="G18" s="121"/>
      <c r="H18" s="121"/>
      <c r="I18" s="121"/>
      <c r="J18" s="121"/>
      <c r="K18" s="121"/>
      <c r="L18" s="124"/>
      <c r="M18" s="124"/>
      <c r="N18" s="124"/>
    </row>
    <row r="19" spans="2:14" s="4" customFormat="1" ht="62.25" customHeight="1" x14ac:dyDescent="0.25">
      <c r="B19" s="120" t="s">
        <v>63</v>
      </c>
      <c r="C19" s="120" t="s">
        <v>64</v>
      </c>
      <c r="D19" s="120"/>
      <c r="E19" s="25" t="s">
        <v>333</v>
      </c>
      <c r="F19" s="26" t="s">
        <v>366</v>
      </c>
      <c r="G19" s="26" t="s">
        <v>367</v>
      </c>
      <c r="H19" s="26" t="s">
        <v>368</v>
      </c>
      <c r="I19" s="26" t="s">
        <v>928</v>
      </c>
      <c r="J19" s="26" t="s">
        <v>369</v>
      </c>
      <c r="K19" s="26" t="s">
        <v>923</v>
      </c>
      <c r="L19" s="30"/>
      <c r="M19" s="30"/>
      <c r="N19" s="30"/>
    </row>
    <row r="20" spans="2:14" s="4" customFormat="1" x14ac:dyDescent="0.25">
      <c r="B20" s="120"/>
      <c r="C20" s="120"/>
      <c r="D20" s="120"/>
      <c r="E20" s="25" t="s">
        <v>334</v>
      </c>
      <c r="F20" s="26" t="s">
        <v>359</v>
      </c>
      <c r="G20" s="26" t="s">
        <v>360</v>
      </c>
      <c r="H20" s="26" t="s">
        <v>361</v>
      </c>
      <c r="I20" s="26" t="s">
        <v>929</v>
      </c>
      <c r="J20" s="26" t="s">
        <v>926</v>
      </c>
      <c r="K20" s="26" t="s">
        <v>924</v>
      </c>
      <c r="L20" s="30"/>
      <c r="M20" s="30"/>
      <c r="N20" s="30"/>
    </row>
    <row r="21" spans="2:14" s="4" customFormat="1" x14ac:dyDescent="0.25">
      <c r="B21" s="120"/>
      <c r="C21" s="120"/>
      <c r="D21" s="120"/>
      <c r="E21" s="120" t="s">
        <v>335</v>
      </c>
      <c r="F21" s="121" t="s">
        <v>362</v>
      </c>
      <c r="G21" s="121" t="s">
        <v>363</v>
      </c>
      <c r="H21" s="121" t="s">
        <v>364</v>
      </c>
      <c r="I21" s="121" t="s">
        <v>365</v>
      </c>
      <c r="J21" s="121" t="s">
        <v>927</v>
      </c>
      <c r="K21" s="121" t="s">
        <v>925</v>
      </c>
      <c r="L21" s="124"/>
      <c r="M21" s="124"/>
      <c r="N21" s="124"/>
    </row>
    <row r="22" spans="2:14" s="4" customFormat="1" x14ac:dyDescent="0.25">
      <c r="B22" s="120"/>
      <c r="C22" s="120"/>
      <c r="D22" s="120"/>
      <c r="E22" s="120"/>
      <c r="F22" s="121"/>
      <c r="G22" s="121"/>
      <c r="H22" s="121"/>
      <c r="I22" s="121"/>
      <c r="J22" s="121"/>
      <c r="K22" s="121"/>
      <c r="L22" s="124"/>
      <c r="M22" s="124"/>
      <c r="N22" s="124"/>
    </row>
    <row r="23" spans="2:14" s="4" customFormat="1" ht="111" customHeight="1" x14ac:dyDescent="0.25">
      <c r="B23" s="120" t="s">
        <v>66</v>
      </c>
      <c r="C23" s="120" t="s">
        <v>370</v>
      </c>
      <c r="D23" s="124"/>
      <c r="E23" s="25" t="s">
        <v>333</v>
      </c>
      <c r="F23" s="26" t="s">
        <v>371</v>
      </c>
      <c r="G23" s="26" t="s">
        <v>372</v>
      </c>
      <c r="H23" s="26" t="s">
        <v>373</v>
      </c>
      <c r="I23" s="26" t="s">
        <v>930</v>
      </c>
      <c r="J23" s="26" t="s">
        <v>374</v>
      </c>
      <c r="K23" s="26" t="s">
        <v>375</v>
      </c>
      <c r="L23" s="30"/>
      <c r="M23" s="30"/>
      <c r="N23" s="30"/>
    </row>
    <row r="24" spans="2:14" s="4" customFormat="1" x14ac:dyDescent="0.25">
      <c r="B24" s="120"/>
      <c r="C24" s="120"/>
      <c r="D24" s="124"/>
      <c r="E24" s="25" t="s">
        <v>334</v>
      </c>
      <c r="F24" s="26" t="s">
        <v>376</v>
      </c>
      <c r="G24" s="26" t="s">
        <v>377</v>
      </c>
      <c r="H24" s="26" t="s">
        <v>378</v>
      </c>
      <c r="I24" s="26" t="s">
        <v>931</v>
      </c>
      <c r="J24" s="26" t="s">
        <v>932</v>
      </c>
      <c r="K24" s="26" t="s">
        <v>379</v>
      </c>
      <c r="L24" s="30"/>
      <c r="M24" s="30"/>
      <c r="N24" s="30"/>
    </row>
    <row r="25" spans="2:14" s="4" customFormat="1" x14ac:dyDescent="0.25">
      <c r="B25" s="120"/>
      <c r="C25" s="120"/>
      <c r="D25" s="124"/>
      <c r="E25" s="120" t="s">
        <v>335</v>
      </c>
      <c r="F25" s="121" t="s">
        <v>1137</v>
      </c>
      <c r="G25" s="121" t="s">
        <v>1138</v>
      </c>
      <c r="H25" s="121" t="s">
        <v>1139</v>
      </c>
      <c r="I25" s="121" t="s">
        <v>1140</v>
      </c>
      <c r="J25" s="121" t="s">
        <v>1141</v>
      </c>
      <c r="K25" s="121" t="s">
        <v>1142</v>
      </c>
      <c r="L25" s="124"/>
      <c r="M25" s="124"/>
      <c r="N25" s="124"/>
    </row>
    <row r="26" spans="2:14" s="4" customFormat="1" x14ac:dyDescent="0.25">
      <c r="B26" s="120"/>
      <c r="C26" s="120"/>
      <c r="D26" s="124"/>
      <c r="E26" s="120"/>
      <c r="F26" s="121"/>
      <c r="G26" s="121"/>
      <c r="H26" s="121"/>
      <c r="I26" s="121"/>
      <c r="J26" s="121"/>
      <c r="K26" s="121"/>
      <c r="L26" s="124"/>
      <c r="M26" s="124"/>
      <c r="N26" s="124"/>
    </row>
    <row r="27" spans="2:14" s="4" customFormat="1" ht="46.5" customHeight="1" x14ac:dyDescent="0.25">
      <c r="B27" s="102" t="s">
        <v>68</v>
      </c>
      <c r="C27" s="102" t="s">
        <v>69</v>
      </c>
      <c r="D27" s="111"/>
      <c r="E27" s="31" t="s">
        <v>333</v>
      </c>
      <c r="F27" s="33" t="s">
        <v>1147</v>
      </c>
      <c r="G27" s="33" t="s">
        <v>1148</v>
      </c>
      <c r="H27" s="33" t="s">
        <v>1146</v>
      </c>
      <c r="I27" s="33" t="s">
        <v>1145</v>
      </c>
      <c r="J27" s="33" t="s">
        <v>1144</v>
      </c>
      <c r="K27" s="33" t="s">
        <v>1143</v>
      </c>
      <c r="L27" s="32"/>
      <c r="M27" s="32"/>
      <c r="N27" s="32"/>
    </row>
    <row r="28" spans="2:14" s="4" customFormat="1" ht="17.25" customHeight="1" x14ac:dyDescent="0.25">
      <c r="B28" s="102"/>
      <c r="C28" s="102"/>
      <c r="D28" s="111"/>
      <c r="E28" s="102" t="s">
        <v>334</v>
      </c>
      <c r="F28" s="113" t="s">
        <v>381</v>
      </c>
      <c r="G28" s="113" t="s">
        <v>382</v>
      </c>
      <c r="H28" s="113" t="s">
        <v>385</v>
      </c>
      <c r="I28" s="113" t="s">
        <v>384</v>
      </c>
      <c r="J28" s="113" t="s">
        <v>383</v>
      </c>
      <c r="K28" s="113" t="s">
        <v>380</v>
      </c>
      <c r="L28" s="122"/>
      <c r="M28" s="122"/>
      <c r="N28" s="122"/>
    </row>
    <row r="29" spans="2:14" s="4" customFormat="1" x14ac:dyDescent="0.25">
      <c r="B29" s="102"/>
      <c r="C29" s="102"/>
      <c r="D29" s="111"/>
      <c r="E29" s="102"/>
      <c r="F29" s="113"/>
      <c r="G29" s="113"/>
      <c r="H29" s="113"/>
      <c r="I29" s="113"/>
      <c r="J29" s="113"/>
      <c r="K29" s="113"/>
      <c r="L29" s="123"/>
      <c r="M29" s="123"/>
      <c r="N29" s="123"/>
    </row>
    <row r="30" spans="2:14" s="4" customFormat="1" ht="14.25" customHeight="1" x14ac:dyDescent="0.25">
      <c r="B30" s="102"/>
      <c r="C30" s="102"/>
      <c r="D30" s="111"/>
      <c r="E30" s="102" t="s">
        <v>335</v>
      </c>
      <c r="F30" s="113">
        <v>41.81</v>
      </c>
      <c r="G30" s="113" t="s">
        <v>1149</v>
      </c>
      <c r="H30" s="113" t="s">
        <v>1150</v>
      </c>
      <c r="I30" s="113" t="s">
        <v>1151</v>
      </c>
      <c r="J30" s="113" t="s">
        <v>1152</v>
      </c>
      <c r="K30" s="113" t="s">
        <v>1153</v>
      </c>
      <c r="L30" s="111"/>
      <c r="M30" s="111"/>
      <c r="N30" s="111"/>
    </row>
    <row r="31" spans="2:14" s="4" customFormat="1" ht="6" customHeight="1" x14ac:dyDescent="0.25">
      <c r="B31" s="102"/>
      <c r="C31" s="102"/>
      <c r="D31" s="111"/>
      <c r="E31" s="102"/>
      <c r="F31" s="113"/>
      <c r="G31" s="113"/>
      <c r="H31" s="113"/>
      <c r="I31" s="113"/>
      <c r="J31" s="113"/>
      <c r="K31" s="113"/>
      <c r="L31" s="111"/>
      <c r="M31" s="111"/>
      <c r="N31" s="111"/>
    </row>
    <row r="32" spans="2:14" s="4" customFormat="1" ht="6.75" customHeight="1" x14ac:dyDescent="0.25">
      <c r="B32" s="102"/>
      <c r="C32" s="102"/>
      <c r="D32" s="111"/>
      <c r="E32" s="102"/>
      <c r="F32" s="113"/>
      <c r="G32" s="113"/>
      <c r="H32" s="113"/>
      <c r="I32" s="113"/>
      <c r="J32" s="113"/>
      <c r="K32" s="113"/>
      <c r="L32" s="111"/>
      <c r="M32" s="111"/>
      <c r="N32" s="111"/>
    </row>
    <row r="33" spans="2:14" s="4" customFormat="1" ht="15.75" customHeight="1" x14ac:dyDescent="0.25">
      <c r="B33" s="102" t="s">
        <v>70</v>
      </c>
      <c r="C33" s="102" t="s">
        <v>386</v>
      </c>
      <c r="D33" s="102"/>
      <c r="E33" s="31" t="s">
        <v>333</v>
      </c>
      <c r="F33" s="33" t="s">
        <v>408</v>
      </c>
      <c r="G33" s="33" t="s">
        <v>409</v>
      </c>
      <c r="H33" s="33" t="s">
        <v>410</v>
      </c>
      <c r="I33" s="33" t="s">
        <v>411</v>
      </c>
      <c r="J33" s="33" t="s">
        <v>412</v>
      </c>
      <c r="K33" s="33" t="s">
        <v>413</v>
      </c>
      <c r="L33" s="32"/>
      <c r="M33" s="32"/>
      <c r="N33" s="32"/>
    </row>
    <row r="34" spans="2:14" s="4" customFormat="1" x14ac:dyDescent="0.25">
      <c r="B34" s="102"/>
      <c r="C34" s="102"/>
      <c r="D34" s="102"/>
      <c r="E34" s="31" t="s">
        <v>334</v>
      </c>
      <c r="F34" s="33" t="s">
        <v>387</v>
      </c>
      <c r="G34" s="33" t="s">
        <v>388</v>
      </c>
      <c r="H34" s="33" t="s">
        <v>389</v>
      </c>
      <c r="I34" s="33" t="s">
        <v>390</v>
      </c>
      <c r="J34" s="33" t="s">
        <v>391</v>
      </c>
      <c r="K34" s="33" t="s">
        <v>392</v>
      </c>
      <c r="L34" s="32"/>
      <c r="M34" s="32"/>
      <c r="N34" s="32"/>
    </row>
    <row r="35" spans="2:14" s="4" customFormat="1" ht="15.75" customHeight="1" x14ac:dyDescent="0.25">
      <c r="B35" s="102"/>
      <c r="C35" s="102"/>
      <c r="D35" s="102"/>
      <c r="E35" s="102" t="s">
        <v>335</v>
      </c>
      <c r="F35" s="113" t="s">
        <v>393</v>
      </c>
      <c r="G35" s="113" t="s">
        <v>394</v>
      </c>
      <c r="H35" s="113" t="s">
        <v>395</v>
      </c>
      <c r="I35" s="113" t="s">
        <v>396</v>
      </c>
      <c r="J35" s="113" t="s">
        <v>397</v>
      </c>
      <c r="K35" s="113" t="s">
        <v>398</v>
      </c>
      <c r="L35" s="111"/>
      <c r="M35" s="111"/>
      <c r="N35" s="111"/>
    </row>
    <row r="36" spans="2:14" s="4" customFormat="1" x14ac:dyDescent="0.25">
      <c r="B36" s="102"/>
      <c r="C36" s="102"/>
      <c r="D36" s="102"/>
      <c r="E36" s="102"/>
      <c r="F36" s="113"/>
      <c r="G36" s="113"/>
      <c r="H36" s="113"/>
      <c r="I36" s="113"/>
      <c r="J36" s="113"/>
      <c r="K36" s="113"/>
      <c r="L36" s="111"/>
      <c r="M36" s="111"/>
      <c r="N36" s="111"/>
    </row>
    <row r="37" spans="2:14" s="4" customFormat="1" ht="79.5" customHeight="1" x14ac:dyDescent="0.25">
      <c r="B37" s="113" t="s">
        <v>72</v>
      </c>
      <c r="C37" s="113" t="s">
        <v>73</v>
      </c>
      <c r="D37" s="111"/>
      <c r="E37" s="35" t="s">
        <v>333</v>
      </c>
      <c r="F37" s="33" t="s">
        <v>399</v>
      </c>
      <c r="G37" s="33" t="s">
        <v>400</v>
      </c>
      <c r="H37" s="33" t="s">
        <v>401</v>
      </c>
      <c r="I37" s="33" t="s">
        <v>933</v>
      </c>
      <c r="J37" s="33" t="s">
        <v>402</v>
      </c>
      <c r="K37" s="33" t="s">
        <v>403</v>
      </c>
      <c r="L37" s="32"/>
      <c r="M37" s="32"/>
      <c r="N37" s="32"/>
    </row>
    <row r="38" spans="2:14" s="4" customFormat="1" x14ac:dyDescent="0.25">
      <c r="B38" s="113"/>
      <c r="C38" s="113"/>
      <c r="D38" s="111"/>
      <c r="E38" s="35" t="s">
        <v>334</v>
      </c>
      <c r="F38" s="33" t="s">
        <v>404</v>
      </c>
      <c r="G38" s="33" t="s">
        <v>405</v>
      </c>
      <c r="H38" s="33" t="s">
        <v>406</v>
      </c>
      <c r="I38" s="33" t="s">
        <v>934</v>
      </c>
      <c r="J38" s="33" t="s">
        <v>935</v>
      </c>
      <c r="K38" s="33" t="s">
        <v>407</v>
      </c>
      <c r="L38" s="32"/>
      <c r="M38" s="32"/>
      <c r="N38" s="32"/>
    </row>
    <row r="39" spans="2:14" s="4" customFormat="1" x14ac:dyDescent="0.25">
      <c r="B39" s="113"/>
      <c r="C39" s="113"/>
      <c r="D39" s="111"/>
      <c r="E39" s="35" t="s">
        <v>335</v>
      </c>
      <c r="F39" s="33" t="s">
        <v>1154</v>
      </c>
      <c r="G39" s="33" t="s">
        <v>1155</v>
      </c>
      <c r="H39" s="33" t="s">
        <v>1156</v>
      </c>
      <c r="I39" s="33" t="s">
        <v>1157</v>
      </c>
      <c r="J39" s="33" t="s">
        <v>1158</v>
      </c>
      <c r="K39" s="33" t="s">
        <v>1159</v>
      </c>
      <c r="L39" s="32"/>
      <c r="M39" s="32"/>
      <c r="N39" s="32"/>
    </row>
    <row r="40" spans="2:14" s="4" customFormat="1" ht="72" customHeight="1" x14ac:dyDescent="0.25">
      <c r="B40" s="102" t="s">
        <v>74</v>
      </c>
      <c r="C40" s="102" t="s">
        <v>75</v>
      </c>
      <c r="D40" s="111"/>
      <c r="E40" s="35" t="s">
        <v>333</v>
      </c>
      <c r="F40" s="33" t="s">
        <v>938</v>
      </c>
      <c r="G40" s="33" t="s">
        <v>939</v>
      </c>
      <c r="H40" s="33" t="s">
        <v>940</v>
      </c>
      <c r="I40" s="33" t="s">
        <v>941</v>
      </c>
      <c r="J40" s="33" t="s">
        <v>943</v>
      </c>
      <c r="K40" s="33" t="s">
        <v>944</v>
      </c>
      <c r="L40" s="32"/>
      <c r="M40" s="32"/>
      <c r="N40" s="32"/>
    </row>
    <row r="41" spans="2:14" s="4" customFormat="1" x14ac:dyDescent="0.25">
      <c r="B41" s="102"/>
      <c r="C41" s="102"/>
      <c r="D41" s="111"/>
      <c r="E41" s="35" t="s">
        <v>334</v>
      </c>
      <c r="F41" s="33" t="s">
        <v>414</v>
      </c>
      <c r="G41" s="33" t="s">
        <v>415</v>
      </c>
      <c r="H41" s="33" t="s">
        <v>416</v>
      </c>
      <c r="I41" s="33" t="s">
        <v>936</v>
      </c>
      <c r="J41" s="33" t="s">
        <v>942</v>
      </c>
      <c r="K41" s="33" t="s">
        <v>937</v>
      </c>
      <c r="L41" s="32"/>
      <c r="M41" s="32"/>
      <c r="N41" s="32"/>
    </row>
    <row r="42" spans="2:14" s="4" customFormat="1" x14ac:dyDescent="0.25">
      <c r="B42" s="102"/>
      <c r="C42" s="102"/>
      <c r="D42" s="111"/>
      <c r="E42" s="35" t="s">
        <v>335</v>
      </c>
      <c r="F42" s="33" t="s">
        <v>1160</v>
      </c>
      <c r="G42" s="33" t="s">
        <v>1161</v>
      </c>
      <c r="H42" s="33" t="s">
        <v>1162</v>
      </c>
      <c r="I42" s="33" t="s">
        <v>1163</v>
      </c>
      <c r="J42" s="33" t="s">
        <v>1164</v>
      </c>
      <c r="K42" s="33" t="s">
        <v>1165</v>
      </c>
      <c r="L42" s="32"/>
      <c r="M42" s="32"/>
      <c r="N42" s="32"/>
    </row>
    <row r="43" spans="2:14" s="4" customFormat="1" ht="95.25" customHeight="1" x14ac:dyDescent="0.25">
      <c r="B43" s="102" t="s">
        <v>104</v>
      </c>
      <c r="C43" s="102" t="s">
        <v>105</v>
      </c>
      <c r="D43" s="111"/>
      <c r="E43" s="35" t="s">
        <v>333</v>
      </c>
      <c r="F43" s="33" t="s">
        <v>424</v>
      </c>
      <c r="G43" s="33" t="s">
        <v>425</v>
      </c>
      <c r="H43" s="33" t="s">
        <v>426</v>
      </c>
      <c r="I43" s="33" t="s">
        <v>945</v>
      </c>
      <c r="J43" s="33" t="s">
        <v>946</v>
      </c>
      <c r="K43" s="33" t="s">
        <v>427</v>
      </c>
      <c r="L43" s="32"/>
      <c r="M43" s="32"/>
      <c r="N43" s="32"/>
    </row>
    <row r="44" spans="2:14" s="4" customFormat="1" ht="15" customHeight="1" x14ac:dyDescent="0.25">
      <c r="B44" s="102"/>
      <c r="C44" s="102"/>
      <c r="D44" s="111"/>
      <c r="E44" s="35" t="s">
        <v>334</v>
      </c>
      <c r="F44" s="33" t="s">
        <v>417</v>
      </c>
      <c r="G44" s="33" t="s">
        <v>418</v>
      </c>
      <c r="H44" s="33" t="s">
        <v>419</v>
      </c>
      <c r="I44" s="33" t="s">
        <v>947</v>
      </c>
      <c r="J44" s="33" t="s">
        <v>948</v>
      </c>
      <c r="K44" s="33" t="s">
        <v>950</v>
      </c>
      <c r="L44" s="32"/>
      <c r="M44" s="32"/>
      <c r="N44" s="32"/>
    </row>
    <row r="45" spans="2:14" s="4" customFormat="1" x14ac:dyDescent="0.25">
      <c r="B45" s="102"/>
      <c r="C45" s="102"/>
      <c r="D45" s="111"/>
      <c r="E45" s="35" t="s">
        <v>335</v>
      </c>
      <c r="F45" s="33" t="s">
        <v>420</v>
      </c>
      <c r="G45" s="33" t="s">
        <v>421</v>
      </c>
      <c r="H45" s="33" t="s">
        <v>422</v>
      </c>
      <c r="I45" s="33" t="s">
        <v>423</v>
      </c>
      <c r="J45" s="33" t="s">
        <v>545</v>
      </c>
      <c r="K45" s="33" t="s">
        <v>949</v>
      </c>
      <c r="L45" s="32"/>
      <c r="M45" s="32"/>
      <c r="N45" s="32"/>
    </row>
    <row r="46" spans="2:14" s="4" customFormat="1" ht="62.25" customHeight="1" x14ac:dyDescent="0.25">
      <c r="B46" s="102" t="s">
        <v>106</v>
      </c>
      <c r="C46" s="102" t="s">
        <v>428</v>
      </c>
      <c r="D46" s="102"/>
      <c r="E46" s="31" t="s">
        <v>333</v>
      </c>
      <c r="F46" s="33">
        <v>13</v>
      </c>
      <c r="G46" s="33">
        <v>13</v>
      </c>
      <c r="H46" s="33">
        <v>13</v>
      </c>
      <c r="I46" s="33">
        <v>13</v>
      </c>
      <c r="J46" s="33">
        <v>13</v>
      </c>
      <c r="K46" s="33">
        <v>13</v>
      </c>
      <c r="L46" s="33"/>
      <c r="M46" s="32"/>
      <c r="N46" s="32"/>
    </row>
    <row r="47" spans="2:14" s="4" customFormat="1" x14ac:dyDescent="0.25">
      <c r="B47" s="102"/>
      <c r="C47" s="102"/>
      <c r="D47" s="102"/>
      <c r="E47" s="31" t="s">
        <v>334</v>
      </c>
      <c r="F47" s="33">
        <v>13</v>
      </c>
      <c r="G47" s="33">
        <v>13</v>
      </c>
      <c r="H47" s="33">
        <v>13</v>
      </c>
      <c r="I47" s="33">
        <v>13</v>
      </c>
      <c r="J47" s="33">
        <v>13</v>
      </c>
      <c r="K47" s="33">
        <v>13</v>
      </c>
      <c r="L47" s="33"/>
      <c r="M47" s="32"/>
      <c r="N47" s="32"/>
    </row>
    <row r="48" spans="2:14" s="4" customFormat="1" x14ac:dyDescent="0.25">
      <c r="B48" s="102"/>
      <c r="C48" s="102"/>
      <c r="D48" s="102"/>
      <c r="E48" s="31" t="s">
        <v>335</v>
      </c>
      <c r="F48" s="33">
        <v>13</v>
      </c>
      <c r="G48" s="33">
        <v>13</v>
      </c>
      <c r="H48" s="33">
        <v>13</v>
      </c>
      <c r="I48" s="33">
        <v>13</v>
      </c>
      <c r="J48" s="33">
        <v>13</v>
      </c>
      <c r="K48" s="33">
        <v>13</v>
      </c>
      <c r="L48" s="33"/>
      <c r="M48" s="32"/>
      <c r="N48" s="32"/>
    </row>
    <row r="49" spans="2:14" s="4" customFormat="1" ht="35.25" customHeight="1" x14ac:dyDescent="0.25">
      <c r="B49" s="102" t="s">
        <v>125</v>
      </c>
      <c r="C49" s="102" t="s">
        <v>126</v>
      </c>
      <c r="D49" s="111"/>
      <c r="E49" s="31" t="s">
        <v>333</v>
      </c>
      <c r="F49" s="33" t="s">
        <v>1166</v>
      </c>
      <c r="G49" s="33" t="s">
        <v>1167</v>
      </c>
      <c r="H49" s="33" t="s">
        <v>1168</v>
      </c>
      <c r="I49" s="33" t="s">
        <v>1169</v>
      </c>
      <c r="J49" s="33" t="s">
        <v>1170</v>
      </c>
      <c r="K49" s="33" t="s">
        <v>1171</v>
      </c>
      <c r="L49" s="32"/>
      <c r="M49" s="32"/>
      <c r="N49" s="32"/>
    </row>
    <row r="50" spans="2:14" s="4" customFormat="1" ht="30" x14ac:dyDescent="0.25">
      <c r="B50" s="102"/>
      <c r="C50" s="102"/>
      <c r="D50" s="111"/>
      <c r="E50" s="31" t="s">
        <v>334</v>
      </c>
      <c r="F50" s="33" t="s">
        <v>436</v>
      </c>
      <c r="G50" s="33" t="s">
        <v>430</v>
      </c>
      <c r="H50" s="33" t="s">
        <v>431</v>
      </c>
      <c r="I50" s="33" t="s">
        <v>432</v>
      </c>
      <c r="J50" s="33" t="s">
        <v>433</v>
      </c>
      <c r="K50" s="33" t="s">
        <v>1403</v>
      </c>
      <c r="L50" s="32"/>
      <c r="M50" s="32"/>
      <c r="N50" s="32"/>
    </row>
    <row r="51" spans="2:14" s="4" customFormat="1" x14ac:dyDescent="0.25">
      <c r="B51" s="102"/>
      <c r="C51" s="102"/>
      <c r="D51" s="111"/>
      <c r="E51" s="31" t="s">
        <v>335</v>
      </c>
      <c r="F51" s="33" t="s">
        <v>141</v>
      </c>
      <c r="G51" s="33" t="s">
        <v>1176</v>
      </c>
      <c r="H51" s="33" t="s">
        <v>1175</v>
      </c>
      <c r="I51" s="33" t="s">
        <v>1174</v>
      </c>
      <c r="J51" s="33" t="s">
        <v>1173</v>
      </c>
      <c r="K51" s="33" t="s">
        <v>1172</v>
      </c>
      <c r="L51" s="32"/>
      <c r="M51" s="32"/>
      <c r="N51" s="32"/>
    </row>
    <row r="52" spans="2:14" s="4" customFormat="1" ht="72.75" customHeight="1" x14ac:dyDescent="0.25">
      <c r="B52" s="102" t="s">
        <v>131</v>
      </c>
      <c r="C52" s="102" t="s">
        <v>132</v>
      </c>
      <c r="D52" s="111"/>
      <c r="E52" s="31" t="s">
        <v>333</v>
      </c>
      <c r="F52" s="33" t="s">
        <v>961</v>
      </c>
      <c r="G52" s="33" t="s">
        <v>960</v>
      </c>
      <c r="H52" s="33" t="s">
        <v>959</v>
      </c>
      <c r="I52" s="33" t="s">
        <v>956</v>
      </c>
      <c r="J52" s="33" t="s">
        <v>955</v>
      </c>
      <c r="K52" s="33" t="s">
        <v>954</v>
      </c>
      <c r="L52" s="32"/>
      <c r="M52" s="32"/>
      <c r="N52" s="32"/>
    </row>
    <row r="53" spans="2:14" s="4" customFormat="1" x14ac:dyDescent="0.25">
      <c r="B53" s="102"/>
      <c r="C53" s="102"/>
      <c r="D53" s="111"/>
      <c r="E53" s="31" t="s">
        <v>334</v>
      </c>
      <c r="F53" s="33" t="s">
        <v>435</v>
      </c>
      <c r="G53" s="33" t="s">
        <v>434</v>
      </c>
      <c r="H53" s="33" t="s">
        <v>962</v>
      </c>
      <c r="I53" s="33" t="s">
        <v>1182</v>
      </c>
      <c r="J53" s="33" t="s">
        <v>1181</v>
      </c>
      <c r="K53" s="33" t="s">
        <v>1179</v>
      </c>
      <c r="L53" s="32"/>
      <c r="M53" s="32"/>
      <c r="N53" s="32"/>
    </row>
    <row r="54" spans="2:14" s="4" customFormat="1" x14ac:dyDescent="0.25">
      <c r="B54" s="102"/>
      <c r="C54" s="102"/>
      <c r="D54" s="111"/>
      <c r="E54" s="31" t="s">
        <v>335</v>
      </c>
      <c r="F54" s="33" t="s">
        <v>141</v>
      </c>
      <c r="G54" s="33" t="s">
        <v>1177</v>
      </c>
      <c r="H54" s="33" t="s">
        <v>1178</v>
      </c>
      <c r="I54" s="33" t="s">
        <v>1103</v>
      </c>
      <c r="J54" s="33" t="s">
        <v>1180</v>
      </c>
      <c r="K54" s="33" t="s">
        <v>545</v>
      </c>
      <c r="L54" s="32"/>
      <c r="M54" s="32"/>
      <c r="N54" s="32"/>
    </row>
    <row r="55" spans="2:14" s="4" customFormat="1" ht="44.25" customHeight="1" x14ac:dyDescent="0.25">
      <c r="B55" s="102" t="s">
        <v>133</v>
      </c>
      <c r="C55" s="102" t="s">
        <v>437</v>
      </c>
      <c r="D55" s="111"/>
      <c r="E55" s="31" t="s">
        <v>333</v>
      </c>
      <c r="F55" s="33" t="s">
        <v>1188</v>
      </c>
      <c r="G55" s="33" t="s">
        <v>1187</v>
      </c>
      <c r="H55" s="33" t="s">
        <v>1186</v>
      </c>
      <c r="I55" s="33" t="s">
        <v>1185</v>
      </c>
      <c r="J55" s="33" t="s">
        <v>1184</v>
      </c>
      <c r="K55" s="33" t="s">
        <v>1183</v>
      </c>
      <c r="L55" s="32"/>
      <c r="M55" s="32"/>
      <c r="N55" s="32"/>
    </row>
    <row r="56" spans="2:14" s="4" customFormat="1" ht="30" x14ac:dyDescent="0.25">
      <c r="B56" s="102"/>
      <c r="C56" s="102"/>
      <c r="D56" s="111"/>
      <c r="E56" s="31" t="s">
        <v>334</v>
      </c>
      <c r="F56" s="33" t="s">
        <v>438</v>
      </c>
      <c r="G56" s="33" t="s">
        <v>439</v>
      </c>
      <c r="H56" s="33" t="s">
        <v>440</v>
      </c>
      <c r="I56" s="33" t="s">
        <v>441</v>
      </c>
      <c r="J56" s="33" t="s">
        <v>442</v>
      </c>
      <c r="K56" s="33" t="s">
        <v>1194</v>
      </c>
      <c r="L56" s="32"/>
      <c r="M56" s="32"/>
      <c r="N56" s="32"/>
    </row>
    <row r="57" spans="2:14" s="4" customFormat="1" x14ac:dyDescent="0.25">
      <c r="B57" s="102"/>
      <c r="C57" s="102"/>
      <c r="D57" s="111"/>
      <c r="E57" s="31" t="s">
        <v>335</v>
      </c>
      <c r="F57" s="33" t="s">
        <v>141</v>
      </c>
      <c r="G57" s="33" t="s">
        <v>1189</v>
      </c>
      <c r="H57" s="33" t="s">
        <v>1190</v>
      </c>
      <c r="I57" s="33" t="s">
        <v>1191</v>
      </c>
      <c r="J57" s="33" t="s">
        <v>1192</v>
      </c>
      <c r="K57" s="33" t="s">
        <v>1193</v>
      </c>
      <c r="L57" s="32"/>
      <c r="M57" s="32"/>
      <c r="N57" s="32"/>
    </row>
    <row r="58" spans="2:14" s="4" customFormat="1" ht="50.25" customHeight="1" x14ac:dyDescent="0.25">
      <c r="B58" s="102" t="s">
        <v>136</v>
      </c>
      <c r="C58" s="102" t="s">
        <v>137</v>
      </c>
      <c r="D58" s="111"/>
      <c r="E58" s="31" t="s">
        <v>333</v>
      </c>
      <c r="F58" s="33" t="s">
        <v>964</v>
      </c>
      <c r="G58" s="33" t="s">
        <v>965</v>
      </c>
      <c r="H58" s="33" t="s">
        <v>966</v>
      </c>
      <c r="I58" s="33" t="s">
        <v>963</v>
      </c>
      <c r="J58" s="33" t="s">
        <v>968</v>
      </c>
      <c r="K58" s="33" t="s">
        <v>967</v>
      </c>
      <c r="L58" s="32"/>
      <c r="M58" s="32"/>
      <c r="N58" s="32"/>
    </row>
    <row r="59" spans="2:14" s="4" customFormat="1" x14ac:dyDescent="0.25">
      <c r="B59" s="102"/>
      <c r="C59" s="102"/>
      <c r="D59" s="111"/>
      <c r="E59" s="31" t="s">
        <v>334</v>
      </c>
      <c r="F59" s="33" t="s">
        <v>446</v>
      </c>
      <c r="G59" s="33" t="s">
        <v>443</v>
      </c>
      <c r="H59" s="33" t="s">
        <v>444</v>
      </c>
      <c r="I59" s="33" t="s">
        <v>445</v>
      </c>
      <c r="J59" s="33" t="s">
        <v>1199</v>
      </c>
      <c r="K59" s="33" t="s">
        <v>1201</v>
      </c>
      <c r="L59" s="32"/>
      <c r="M59" s="32"/>
      <c r="N59" s="32"/>
    </row>
    <row r="60" spans="2:14" s="4" customFormat="1" x14ac:dyDescent="0.25">
      <c r="B60" s="102"/>
      <c r="C60" s="102"/>
      <c r="D60" s="111"/>
      <c r="E60" s="31" t="s">
        <v>335</v>
      </c>
      <c r="F60" s="33" t="s">
        <v>141</v>
      </c>
      <c r="G60" s="33" t="s">
        <v>1195</v>
      </c>
      <c r="H60" s="33" t="s">
        <v>1196</v>
      </c>
      <c r="I60" s="33" t="s">
        <v>1197</v>
      </c>
      <c r="J60" s="33" t="s">
        <v>1198</v>
      </c>
      <c r="K60" s="33" t="s">
        <v>1200</v>
      </c>
      <c r="L60" s="32"/>
      <c r="M60" s="32"/>
      <c r="N60" s="32"/>
    </row>
    <row r="61" spans="2:14" s="4" customFormat="1" ht="42" customHeight="1" x14ac:dyDescent="0.25">
      <c r="B61" s="102" t="s">
        <v>139</v>
      </c>
      <c r="C61" s="102" t="s">
        <v>140</v>
      </c>
      <c r="D61" s="111"/>
      <c r="E61" s="31" t="s">
        <v>333</v>
      </c>
      <c r="F61" s="33" t="s">
        <v>969</v>
      </c>
      <c r="G61" s="33" t="s">
        <v>970</v>
      </c>
      <c r="H61" s="33" t="s">
        <v>971</v>
      </c>
      <c r="I61" s="33" t="s">
        <v>976</v>
      </c>
      <c r="J61" s="33" t="s">
        <v>974</v>
      </c>
      <c r="K61" s="33" t="s">
        <v>972</v>
      </c>
      <c r="L61" s="32"/>
      <c r="M61" s="32"/>
      <c r="N61" s="32"/>
    </row>
    <row r="62" spans="2:14" s="4" customFormat="1" x14ac:dyDescent="0.25">
      <c r="B62" s="102"/>
      <c r="C62" s="102"/>
      <c r="D62" s="111"/>
      <c r="E62" s="31" t="s">
        <v>334</v>
      </c>
      <c r="F62" s="33" t="s">
        <v>449</v>
      </c>
      <c r="G62" s="33" t="s">
        <v>447</v>
      </c>
      <c r="H62" s="33" t="s">
        <v>448</v>
      </c>
      <c r="I62" s="33" t="s">
        <v>977</v>
      </c>
      <c r="J62" s="33" t="s">
        <v>975</v>
      </c>
      <c r="K62" s="33" t="s">
        <v>973</v>
      </c>
      <c r="L62" s="32"/>
      <c r="M62" s="32"/>
      <c r="N62" s="32"/>
    </row>
    <row r="63" spans="2:14" s="4" customFormat="1" x14ac:dyDescent="0.25">
      <c r="B63" s="102"/>
      <c r="C63" s="102"/>
      <c r="D63" s="111"/>
      <c r="E63" s="31" t="s">
        <v>335</v>
      </c>
      <c r="F63" s="33" t="s">
        <v>141</v>
      </c>
      <c r="G63" s="33" t="s">
        <v>449</v>
      </c>
      <c r="H63" s="33" t="s">
        <v>1202</v>
      </c>
      <c r="I63" s="33" t="s">
        <v>1203</v>
      </c>
      <c r="J63" s="33" t="s">
        <v>1204</v>
      </c>
      <c r="K63" s="33" t="s">
        <v>1205</v>
      </c>
      <c r="L63" s="32"/>
      <c r="M63" s="32"/>
      <c r="N63" s="32"/>
    </row>
    <row r="64" spans="2:14" s="4" customFormat="1" ht="35.25" customHeight="1" x14ac:dyDescent="0.25">
      <c r="B64" s="102" t="s">
        <v>143</v>
      </c>
      <c r="C64" s="102" t="s">
        <v>144</v>
      </c>
      <c r="D64" s="111"/>
      <c r="E64" s="31" t="s">
        <v>333</v>
      </c>
      <c r="F64" s="33" t="s">
        <v>1211</v>
      </c>
      <c r="G64" s="33" t="s">
        <v>1210</v>
      </c>
      <c r="H64" s="33" t="s">
        <v>1209</v>
      </c>
      <c r="I64" s="33" t="s">
        <v>1208</v>
      </c>
      <c r="J64" s="33" t="s">
        <v>1207</v>
      </c>
      <c r="K64" s="33" t="s">
        <v>1206</v>
      </c>
      <c r="L64" s="32"/>
      <c r="M64" s="32"/>
      <c r="N64" s="32"/>
    </row>
    <row r="65" spans="2:14" s="4" customFormat="1" x14ac:dyDescent="0.25">
      <c r="B65" s="102"/>
      <c r="C65" s="102"/>
      <c r="D65" s="111"/>
      <c r="E65" s="31" t="s">
        <v>334</v>
      </c>
      <c r="F65" s="33" t="s">
        <v>450</v>
      </c>
      <c r="G65" s="33" t="s">
        <v>451</v>
      </c>
      <c r="H65" s="33" t="s">
        <v>452</v>
      </c>
      <c r="I65" s="33" t="s">
        <v>453</v>
      </c>
      <c r="J65" s="33" t="s">
        <v>454</v>
      </c>
      <c r="K65" s="33" t="s">
        <v>1217</v>
      </c>
      <c r="L65" s="32"/>
      <c r="M65" s="32"/>
      <c r="N65" s="32"/>
    </row>
    <row r="66" spans="2:14" s="4" customFormat="1" x14ac:dyDescent="0.25">
      <c r="B66" s="102"/>
      <c r="C66" s="102"/>
      <c r="D66" s="111"/>
      <c r="E66" s="31" t="s">
        <v>335</v>
      </c>
      <c r="F66" s="33" t="s">
        <v>141</v>
      </c>
      <c r="G66" s="33" t="s">
        <v>1212</v>
      </c>
      <c r="H66" s="33" t="s">
        <v>1213</v>
      </c>
      <c r="I66" s="33" t="s">
        <v>1214</v>
      </c>
      <c r="J66" s="33" t="s">
        <v>1215</v>
      </c>
      <c r="K66" s="33" t="s">
        <v>1216</v>
      </c>
      <c r="L66" s="32"/>
      <c r="M66" s="32"/>
      <c r="N66" s="32"/>
    </row>
    <row r="67" spans="2:14" s="4" customFormat="1" ht="38.25" customHeight="1" x14ac:dyDescent="0.25">
      <c r="B67" s="102" t="s">
        <v>145</v>
      </c>
      <c r="C67" s="113" t="s">
        <v>230</v>
      </c>
      <c r="D67" s="111"/>
      <c r="E67" s="31" t="s">
        <v>333</v>
      </c>
      <c r="F67" s="33" t="s">
        <v>983</v>
      </c>
      <c r="G67" s="33" t="s">
        <v>982</v>
      </c>
      <c r="H67" s="33" t="s">
        <v>981</v>
      </c>
      <c r="I67" s="33" t="s">
        <v>984</v>
      </c>
      <c r="J67" s="33" t="s">
        <v>985</v>
      </c>
      <c r="K67" s="33" t="s">
        <v>980</v>
      </c>
      <c r="L67" s="32"/>
      <c r="M67" s="32"/>
      <c r="N67" s="32"/>
    </row>
    <row r="68" spans="2:14" s="4" customFormat="1" x14ac:dyDescent="0.25">
      <c r="B68" s="102"/>
      <c r="C68" s="113"/>
      <c r="D68" s="111"/>
      <c r="E68" s="31" t="s">
        <v>334</v>
      </c>
      <c r="F68" s="33" t="s">
        <v>455</v>
      </c>
      <c r="G68" s="33" t="s">
        <v>456</v>
      </c>
      <c r="H68" s="33" t="s">
        <v>457</v>
      </c>
      <c r="I68" s="33" t="s">
        <v>1221</v>
      </c>
      <c r="J68" s="33" t="s">
        <v>1223</v>
      </c>
      <c r="K68" s="33" t="s">
        <v>1225</v>
      </c>
      <c r="L68" s="32"/>
      <c r="M68" s="32"/>
      <c r="N68" s="32"/>
    </row>
    <row r="69" spans="2:14" s="4" customFormat="1" x14ac:dyDescent="0.25">
      <c r="B69" s="102"/>
      <c r="C69" s="113"/>
      <c r="D69" s="111"/>
      <c r="E69" s="31" t="s">
        <v>335</v>
      </c>
      <c r="F69" s="33" t="s">
        <v>141</v>
      </c>
      <c r="G69" s="33" t="s">
        <v>1218</v>
      </c>
      <c r="H69" s="33" t="s">
        <v>1219</v>
      </c>
      <c r="I69" s="33" t="s">
        <v>1220</v>
      </c>
      <c r="J69" s="33" t="s">
        <v>1222</v>
      </c>
      <c r="K69" s="33" t="s">
        <v>1224</v>
      </c>
      <c r="L69" s="32"/>
      <c r="M69" s="32"/>
      <c r="N69" s="32"/>
    </row>
    <row r="70" spans="2:14" s="4" customFormat="1" ht="35.25" customHeight="1" x14ac:dyDescent="0.25">
      <c r="B70" s="102" t="s">
        <v>148</v>
      </c>
      <c r="C70" s="102" t="s">
        <v>146</v>
      </c>
      <c r="D70" s="111"/>
      <c r="E70" s="31" t="s">
        <v>333</v>
      </c>
      <c r="F70" s="33" t="s">
        <v>1231</v>
      </c>
      <c r="G70" s="33" t="s">
        <v>1230</v>
      </c>
      <c r="H70" s="33" t="s">
        <v>1229</v>
      </c>
      <c r="I70" s="33" t="s">
        <v>1228</v>
      </c>
      <c r="J70" s="33" t="s">
        <v>1227</v>
      </c>
      <c r="K70" s="33" t="s">
        <v>1226</v>
      </c>
      <c r="L70" s="32"/>
      <c r="M70" s="32"/>
      <c r="N70" s="32"/>
    </row>
    <row r="71" spans="2:14" s="4" customFormat="1" x14ac:dyDescent="0.25">
      <c r="B71" s="102"/>
      <c r="C71" s="102"/>
      <c r="D71" s="111"/>
      <c r="E71" s="31" t="s">
        <v>334</v>
      </c>
      <c r="F71" s="33" t="s">
        <v>458</v>
      </c>
      <c r="G71" s="33" t="s">
        <v>459</v>
      </c>
      <c r="H71" s="33" t="s">
        <v>460</v>
      </c>
      <c r="I71" s="33" t="s">
        <v>461</v>
      </c>
      <c r="J71" s="33" t="s">
        <v>462</v>
      </c>
      <c r="K71" s="33" t="s">
        <v>1404</v>
      </c>
      <c r="L71" s="32"/>
      <c r="M71" s="32"/>
      <c r="N71" s="32"/>
    </row>
    <row r="72" spans="2:14" s="4" customFormat="1" x14ac:dyDescent="0.25">
      <c r="B72" s="102"/>
      <c r="C72" s="102"/>
      <c r="D72" s="111"/>
      <c r="E72" s="31" t="s">
        <v>335</v>
      </c>
      <c r="F72" s="33" t="s">
        <v>141</v>
      </c>
      <c r="G72" s="33" t="s">
        <v>1236</v>
      </c>
      <c r="H72" s="33" t="s">
        <v>1235</v>
      </c>
      <c r="I72" s="33" t="s">
        <v>1234</v>
      </c>
      <c r="J72" s="33" t="s">
        <v>1233</v>
      </c>
      <c r="K72" s="33" t="s">
        <v>1232</v>
      </c>
      <c r="L72" s="32"/>
      <c r="M72" s="32"/>
      <c r="N72" s="32"/>
    </row>
    <row r="73" spans="2:14" s="4" customFormat="1" ht="46.5" customHeight="1" x14ac:dyDescent="0.25">
      <c r="B73" s="102" t="s">
        <v>854</v>
      </c>
      <c r="C73" s="102" t="s">
        <v>147</v>
      </c>
      <c r="D73" s="111"/>
      <c r="E73" s="31" t="s">
        <v>333</v>
      </c>
      <c r="F73" s="33" t="s">
        <v>1247</v>
      </c>
      <c r="G73" s="33" t="s">
        <v>1246</v>
      </c>
      <c r="H73" s="33" t="s">
        <v>1245</v>
      </c>
      <c r="I73" s="33" t="s">
        <v>1244</v>
      </c>
      <c r="J73" s="33" t="s">
        <v>1243</v>
      </c>
      <c r="K73" s="33" t="s">
        <v>1229</v>
      </c>
      <c r="L73" s="32"/>
      <c r="M73" s="32"/>
      <c r="N73" s="32"/>
    </row>
    <row r="74" spans="2:14" s="4" customFormat="1" x14ac:dyDescent="0.25">
      <c r="B74" s="102"/>
      <c r="C74" s="102"/>
      <c r="D74" s="111"/>
      <c r="E74" s="31" t="s">
        <v>334</v>
      </c>
      <c r="F74" s="33" t="s">
        <v>463</v>
      </c>
      <c r="G74" s="33" t="s">
        <v>464</v>
      </c>
      <c r="H74" s="33" t="s">
        <v>465</v>
      </c>
      <c r="I74" s="33" t="s">
        <v>466</v>
      </c>
      <c r="J74" s="33" t="s">
        <v>467</v>
      </c>
      <c r="K74" s="33" t="s">
        <v>1242</v>
      </c>
      <c r="L74" s="32"/>
      <c r="M74" s="32"/>
      <c r="N74" s="32"/>
    </row>
    <row r="75" spans="2:14" s="4" customFormat="1" x14ac:dyDescent="0.25">
      <c r="B75" s="102"/>
      <c r="C75" s="102"/>
      <c r="D75" s="111"/>
      <c r="E75" s="31" t="s">
        <v>335</v>
      </c>
      <c r="F75" s="33" t="s">
        <v>141</v>
      </c>
      <c r="G75" s="33" t="s">
        <v>1237</v>
      </c>
      <c r="H75" s="33" t="s">
        <v>1238</v>
      </c>
      <c r="I75" s="33" t="s">
        <v>1239</v>
      </c>
      <c r="J75" s="33" t="s">
        <v>1240</v>
      </c>
      <c r="K75" s="33" t="s">
        <v>1241</v>
      </c>
      <c r="L75" s="32"/>
      <c r="M75" s="32"/>
      <c r="N75" s="32"/>
    </row>
    <row r="76" spans="2:14" s="4" customFormat="1" ht="40.5" customHeight="1" x14ac:dyDescent="0.25">
      <c r="B76" s="102" t="s">
        <v>855</v>
      </c>
      <c r="C76" s="102" t="s">
        <v>149</v>
      </c>
      <c r="D76" s="111"/>
      <c r="E76" s="31" t="s">
        <v>333</v>
      </c>
      <c r="F76" s="33" t="s">
        <v>1253</v>
      </c>
      <c r="G76" s="33" t="s">
        <v>1252</v>
      </c>
      <c r="H76" s="33" t="s">
        <v>1251</v>
      </c>
      <c r="I76" s="33" t="s">
        <v>1250</v>
      </c>
      <c r="J76" s="33" t="s">
        <v>1249</v>
      </c>
      <c r="K76" s="33" t="s">
        <v>1248</v>
      </c>
      <c r="L76" s="32"/>
      <c r="M76" s="32"/>
      <c r="N76" s="32"/>
    </row>
    <row r="77" spans="2:14" s="4" customFormat="1" x14ac:dyDescent="0.25">
      <c r="B77" s="102"/>
      <c r="C77" s="102"/>
      <c r="D77" s="111"/>
      <c r="E77" s="31" t="s">
        <v>334</v>
      </c>
      <c r="F77" s="33" t="s">
        <v>468</v>
      </c>
      <c r="G77" s="33" t="s">
        <v>469</v>
      </c>
      <c r="H77" s="33" t="s">
        <v>470</v>
      </c>
      <c r="I77" s="33" t="s">
        <v>471</v>
      </c>
      <c r="J77" s="33" t="s">
        <v>472</v>
      </c>
      <c r="K77" s="33" t="s">
        <v>1254</v>
      </c>
      <c r="L77" s="32"/>
      <c r="M77" s="32"/>
      <c r="N77" s="32"/>
    </row>
    <row r="78" spans="2:14" s="4" customFormat="1" x14ac:dyDescent="0.25">
      <c r="B78" s="102"/>
      <c r="C78" s="102"/>
      <c r="D78" s="111"/>
      <c r="E78" s="31" t="s">
        <v>335</v>
      </c>
      <c r="F78" s="33" t="s">
        <v>141</v>
      </c>
      <c r="G78" s="33" t="s">
        <v>1259</v>
      </c>
      <c r="H78" s="33" t="s">
        <v>1258</v>
      </c>
      <c r="I78" s="33" t="s">
        <v>1257</v>
      </c>
      <c r="J78" s="33" t="s">
        <v>1256</v>
      </c>
      <c r="K78" s="33" t="s">
        <v>1255</v>
      </c>
      <c r="L78" s="32"/>
      <c r="M78" s="32"/>
      <c r="N78" s="32"/>
    </row>
    <row r="79" spans="2:14" s="4" customFormat="1" ht="45.75" customHeight="1" x14ac:dyDescent="0.25">
      <c r="B79" s="102" t="s">
        <v>155</v>
      </c>
      <c r="C79" s="102" t="s">
        <v>156</v>
      </c>
      <c r="D79" s="111"/>
      <c r="E79" s="31" t="s">
        <v>333</v>
      </c>
      <c r="F79" s="33" t="s">
        <v>994</v>
      </c>
      <c r="G79" s="33" t="s">
        <v>1262</v>
      </c>
      <c r="H79" s="33" t="s">
        <v>988</v>
      </c>
      <c r="I79" s="33" t="s">
        <v>991</v>
      </c>
      <c r="J79" s="33" t="s">
        <v>990</v>
      </c>
      <c r="K79" s="33" t="s">
        <v>989</v>
      </c>
      <c r="L79" s="32"/>
      <c r="M79" s="32"/>
      <c r="N79" s="32"/>
    </row>
    <row r="80" spans="2:14" s="4" customFormat="1" x14ac:dyDescent="0.25">
      <c r="B80" s="102"/>
      <c r="C80" s="102"/>
      <c r="D80" s="111"/>
      <c r="E80" s="31" t="s">
        <v>334</v>
      </c>
      <c r="F80" s="33" t="s">
        <v>993</v>
      </c>
      <c r="G80" s="33" t="s">
        <v>1261</v>
      </c>
      <c r="H80" s="33" t="s">
        <v>1264</v>
      </c>
      <c r="I80" s="33" t="s">
        <v>1266</v>
      </c>
      <c r="J80" s="33" t="s">
        <v>1268</v>
      </c>
      <c r="K80" s="33" t="s">
        <v>1270</v>
      </c>
      <c r="L80" s="32"/>
      <c r="M80" s="32"/>
      <c r="N80" s="32"/>
    </row>
    <row r="81" spans="2:14" s="4" customFormat="1" x14ac:dyDescent="0.25">
      <c r="B81" s="102"/>
      <c r="C81" s="102"/>
      <c r="D81" s="111"/>
      <c r="E81" s="31" t="s">
        <v>335</v>
      </c>
      <c r="F81" s="33" t="s">
        <v>141</v>
      </c>
      <c r="G81" s="33" t="s">
        <v>1260</v>
      </c>
      <c r="H81" s="33" t="s">
        <v>1263</v>
      </c>
      <c r="I81" s="33" t="s">
        <v>1265</v>
      </c>
      <c r="J81" s="33" t="s">
        <v>1267</v>
      </c>
      <c r="K81" s="33" t="s">
        <v>1269</v>
      </c>
      <c r="L81" s="32"/>
      <c r="M81" s="32"/>
      <c r="N81" s="32"/>
    </row>
    <row r="82" spans="2:14" s="4" customFormat="1" ht="29.25" customHeight="1" x14ac:dyDescent="0.25">
      <c r="B82" s="102" t="s">
        <v>158</v>
      </c>
      <c r="C82" s="102" t="s">
        <v>159</v>
      </c>
      <c r="D82" s="111"/>
      <c r="E82" s="31" t="s">
        <v>333</v>
      </c>
      <c r="F82" s="33" t="s">
        <v>999</v>
      </c>
      <c r="G82" s="33" t="s">
        <v>998</v>
      </c>
      <c r="H82" s="33" t="s">
        <v>997</v>
      </c>
      <c r="I82" s="33" t="s">
        <v>1278</v>
      </c>
      <c r="J82" s="33" t="s">
        <v>1001</v>
      </c>
      <c r="K82" s="33" t="s">
        <v>1000</v>
      </c>
      <c r="L82" s="32"/>
      <c r="M82" s="32"/>
      <c r="N82" s="32"/>
    </row>
    <row r="83" spans="2:14" s="4" customFormat="1" x14ac:dyDescent="0.25">
      <c r="B83" s="102"/>
      <c r="C83" s="102"/>
      <c r="D83" s="111"/>
      <c r="E83" s="31" t="s">
        <v>334</v>
      </c>
      <c r="F83" s="33" t="s">
        <v>473</v>
      </c>
      <c r="G83" s="33" t="s">
        <v>1272</v>
      </c>
      <c r="H83" s="33" t="s">
        <v>1274</v>
      </c>
      <c r="I83" s="33" t="s">
        <v>1277</v>
      </c>
      <c r="J83" s="33" t="s">
        <v>1002</v>
      </c>
      <c r="K83" s="33" t="s">
        <v>1280</v>
      </c>
      <c r="L83" s="32"/>
      <c r="M83" s="32"/>
      <c r="N83" s="32"/>
    </row>
    <row r="84" spans="2:14" s="4" customFormat="1" x14ac:dyDescent="0.25">
      <c r="B84" s="102"/>
      <c r="C84" s="102"/>
      <c r="D84" s="111"/>
      <c r="E84" s="31" t="s">
        <v>335</v>
      </c>
      <c r="F84" s="33" t="s">
        <v>141</v>
      </c>
      <c r="G84" s="33" t="s">
        <v>1271</v>
      </c>
      <c r="H84" s="33" t="s">
        <v>1273</v>
      </c>
      <c r="I84" s="33" t="s">
        <v>1275</v>
      </c>
      <c r="J84" s="33" t="s">
        <v>1276</v>
      </c>
      <c r="K84" s="33" t="s">
        <v>1279</v>
      </c>
      <c r="L84" s="32"/>
      <c r="M84" s="32"/>
      <c r="N84" s="32"/>
    </row>
    <row r="85" spans="2:14" s="4" customFormat="1" ht="35.25" customHeight="1" x14ac:dyDescent="0.25">
      <c r="B85" s="102" t="s">
        <v>474</v>
      </c>
      <c r="C85" s="102" t="s">
        <v>161</v>
      </c>
      <c r="D85" s="111"/>
      <c r="E85" s="31" t="s">
        <v>333</v>
      </c>
      <c r="F85" s="33" t="s">
        <v>1005</v>
      </c>
      <c r="G85" s="33" t="s">
        <v>1003</v>
      </c>
      <c r="H85" s="33" t="s">
        <v>1289</v>
      </c>
      <c r="I85" s="33" t="s">
        <v>1288</v>
      </c>
      <c r="J85" s="33" t="s">
        <v>1285</v>
      </c>
      <c r="K85" s="33" t="s">
        <v>1004</v>
      </c>
      <c r="L85" s="32"/>
      <c r="M85" s="32"/>
      <c r="N85" s="32"/>
    </row>
    <row r="86" spans="2:14" s="4" customFormat="1" x14ac:dyDescent="0.25">
      <c r="B86" s="102"/>
      <c r="C86" s="102"/>
      <c r="D86" s="111"/>
      <c r="E86" s="31" t="s">
        <v>334</v>
      </c>
      <c r="F86" s="33" t="s">
        <v>475</v>
      </c>
      <c r="G86" s="33" t="s">
        <v>476</v>
      </c>
      <c r="H86" s="33" t="s">
        <v>1290</v>
      </c>
      <c r="I86" s="33" t="s">
        <v>1287</v>
      </c>
      <c r="J86" s="33" t="s">
        <v>1286</v>
      </c>
      <c r="K86" s="33" t="s">
        <v>1006</v>
      </c>
      <c r="L86" s="32"/>
      <c r="M86" s="32"/>
      <c r="N86" s="32"/>
    </row>
    <row r="87" spans="2:14" s="4" customFormat="1" x14ac:dyDescent="0.25">
      <c r="B87" s="102"/>
      <c r="C87" s="102"/>
      <c r="D87" s="111"/>
      <c r="E87" s="31" t="s">
        <v>335</v>
      </c>
      <c r="F87" s="33" t="s">
        <v>141</v>
      </c>
      <c r="G87" s="33" t="s">
        <v>1281</v>
      </c>
      <c r="H87" s="33" t="s">
        <v>1291</v>
      </c>
      <c r="I87" s="33" t="s">
        <v>1282</v>
      </c>
      <c r="J87" s="33" t="s">
        <v>1283</v>
      </c>
      <c r="K87" s="33" t="s">
        <v>1284</v>
      </c>
      <c r="L87" s="32"/>
      <c r="M87" s="32"/>
      <c r="N87" s="32"/>
    </row>
    <row r="88" spans="2:14" s="4" customFormat="1" ht="66.75" customHeight="1" x14ac:dyDescent="0.25">
      <c r="B88" s="102" t="s">
        <v>165</v>
      </c>
      <c r="C88" s="102" t="s">
        <v>166</v>
      </c>
      <c r="D88" s="111"/>
      <c r="E88" s="31" t="s">
        <v>333</v>
      </c>
      <c r="F88" s="33" t="s">
        <v>1303</v>
      </c>
      <c r="G88" s="33" t="s">
        <v>1301</v>
      </c>
      <c r="H88" s="33" t="s">
        <v>1299</v>
      </c>
      <c r="I88" s="33" t="s">
        <v>1297</v>
      </c>
      <c r="J88" s="33" t="s">
        <v>1295</v>
      </c>
      <c r="K88" s="33" t="s">
        <v>1292</v>
      </c>
      <c r="L88" s="32"/>
      <c r="M88" s="32"/>
      <c r="N88" s="32"/>
    </row>
    <row r="89" spans="2:14" s="4" customFormat="1" x14ac:dyDescent="0.25">
      <c r="B89" s="102"/>
      <c r="C89" s="102"/>
      <c r="D89" s="111"/>
      <c r="E89" s="31" t="s">
        <v>334</v>
      </c>
      <c r="F89" s="33" t="s">
        <v>478</v>
      </c>
      <c r="G89" s="33" t="s">
        <v>479</v>
      </c>
      <c r="H89" s="33" t="s">
        <v>481</v>
      </c>
      <c r="I89" s="33" t="s">
        <v>482</v>
      </c>
      <c r="J89" s="33" t="s">
        <v>483</v>
      </c>
      <c r="K89" s="33" t="s">
        <v>1293</v>
      </c>
      <c r="L89" s="32"/>
      <c r="M89" s="32"/>
      <c r="N89" s="32"/>
    </row>
    <row r="90" spans="2:14" s="4" customFormat="1" x14ac:dyDescent="0.25">
      <c r="B90" s="102"/>
      <c r="C90" s="102"/>
      <c r="D90" s="111"/>
      <c r="E90" s="31" t="s">
        <v>335</v>
      </c>
      <c r="F90" s="33" t="s">
        <v>480</v>
      </c>
      <c r="G90" s="33" t="s">
        <v>1302</v>
      </c>
      <c r="H90" s="33" t="s">
        <v>1300</v>
      </c>
      <c r="I90" s="33" t="s">
        <v>1298</v>
      </c>
      <c r="J90" s="33" t="s">
        <v>1296</v>
      </c>
      <c r="K90" s="33" t="s">
        <v>1294</v>
      </c>
      <c r="L90" s="32"/>
      <c r="M90" s="32"/>
      <c r="N90" s="32"/>
    </row>
    <row r="91" spans="2:14" s="4" customFormat="1" ht="115.5" customHeight="1" x14ac:dyDescent="0.25">
      <c r="B91" s="102" t="s">
        <v>167</v>
      </c>
      <c r="C91" s="113" t="s">
        <v>168</v>
      </c>
      <c r="D91" s="111"/>
      <c r="E91" s="31" t="s">
        <v>333</v>
      </c>
      <c r="F91" s="32" t="s">
        <v>141</v>
      </c>
      <c r="G91" s="32" t="s">
        <v>141</v>
      </c>
      <c r="H91" s="32" t="s">
        <v>141</v>
      </c>
      <c r="I91" s="32" t="s">
        <v>141</v>
      </c>
      <c r="J91" s="32" t="s">
        <v>141</v>
      </c>
      <c r="K91" s="32" t="s">
        <v>141</v>
      </c>
      <c r="L91" s="32"/>
      <c r="M91" s="32"/>
      <c r="N91" s="32"/>
    </row>
    <row r="92" spans="2:14" s="4" customFormat="1" x14ac:dyDescent="0.25">
      <c r="B92" s="102"/>
      <c r="C92" s="113"/>
      <c r="D92" s="111"/>
      <c r="E92" s="31" t="s">
        <v>334</v>
      </c>
      <c r="F92" s="32" t="s">
        <v>141</v>
      </c>
      <c r="G92" s="32" t="s">
        <v>141</v>
      </c>
      <c r="H92" s="32" t="s">
        <v>141</v>
      </c>
      <c r="I92" s="32" t="s">
        <v>141</v>
      </c>
      <c r="J92" s="32" t="s">
        <v>141</v>
      </c>
      <c r="K92" s="32" t="s">
        <v>141</v>
      </c>
      <c r="L92" s="32"/>
      <c r="M92" s="32"/>
      <c r="N92" s="32"/>
    </row>
    <row r="93" spans="2:14" s="4" customFormat="1" x14ac:dyDescent="0.25">
      <c r="B93" s="102"/>
      <c r="C93" s="113"/>
      <c r="D93" s="111"/>
      <c r="E93" s="31" t="s">
        <v>335</v>
      </c>
      <c r="F93" s="32" t="s">
        <v>141</v>
      </c>
      <c r="G93" s="32" t="s">
        <v>141</v>
      </c>
      <c r="H93" s="32" t="s">
        <v>141</v>
      </c>
      <c r="I93" s="32" t="s">
        <v>141</v>
      </c>
      <c r="J93" s="32" t="s">
        <v>141</v>
      </c>
      <c r="K93" s="32" t="s">
        <v>141</v>
      </c>
      <c r="L93" s="32"/>
      <c r="M93" s="32"/>
      <c r="N93" s="32"/>
    </row>
    <row r="94" spans="2:14" s="4" customFormat="1" ht="26.25" customHeight="1" x14ac:dyDescent="0.25">
      <c r="B94" s="102" t="s">
        <v>169</v>
      </c>
      <c r="C94" s="102" t="s">
        <v>170</v>
      </c>
      <c r="D94" s="111"/>
      <c r="E94" s="31" t="s">
        <v>333</v>
      </c>
      <c r="F94" s="33" t="s">
        <v>992</v>
      </c>
      <c r="G94" s="33" t="s">
        <v>1313</v>
      </c>
      <c r="H94" s="33" t="s">
        <v>1311</v>
      </c>
      <c r="I94" s="33" t="s">
        <v>1309</v>
      </c>
      <c r="J94" s="33" t="s">
        <v>1307</v>
      </c>
      <c r="K94" s="33" t="s">
        <v>1304</v>
      </c>
      <c r="L94" s="32"/>
      <c r="M94" s="32"/>
      <c r="N94" s="32"/>
    </row>
    <row r="95" spans="2:14" s="4" customFormat="1" x14ac:dyDescent="0.25">
      <c r="B95" s="102"/>
      <c r="C95" s="102"/>
      <c r="D95" s="111"/>
      <c r="E95" s="31" t="s">
        <v>334</v>
      </c>
      <c r="F95" s="33" t="s">
        <v>484</v>
      </c>
      <c r="G95" s="33" t="s">
        <v>485</v>
      </c>
      <c r="H95" s="33" t="s">
        <v>486</v>
      </c>
      <c r="I95" s="33" t="s">
        <v>487</v>
      </c>
      <c r="J95" s="33" t="s">
        <v>488</v>
      </c>
      <c r="K95" s="33" t="s">
        <v>1305</v>
      </c>
      <c r="L95" s="32"/>
      <c r="M95" s="32"/>
      <c r="N95" s="32"/>
    </row>
    <row r="96" spans="2:14" s="4" customFormat="1" x14ac:dyDescent="0.25">
      <c r="B96" s="102"/>
      <c r="C96" s="102"/>
      <c r="D96" s="111"/>
      <c r="E96" s="31" t="s">
        <v>335</v>
      </c>
      <c r="F96" s="33" t="s">
        <v>141</v>
      </c>
      <c r="G96" s="33" t="s">
        <v>484</v>
      </c>
      <c r="H96" s="33" t="s">
        <v>1312</v>
      </c>
      <c r="I96" s="33" t="s">
        <v>1310</v>
      </c>
      <c r="J96" s="33" t="s">
        <v>1308</v>
      </c>
      <c r="K96" s="33" t="s">
        <v>1306</v>
      </c>
      <c r="L96" s="32"/>
      <c r="M96" s="32"/>
      <c r="N96" s="32"/>
    </row>
    <row r="97" spans="2:14" s="4" customFormat="1" ht="141" customHeight="1" x14ac:dyDescent="0.25">
      <c r="B97" s="102" t="s">
        <v>171</v>
      </c>
      <c r="C97" s="113" t="s">
        <v>172</v>
      </c>
      <c r="D97" s="111"/>
      <c r="E97" s="31" t="s">
        <v>333</v>
      </c>
      <c r="F97" s="32" t="s">
        <v>141</v>
      </c>
      <c r="G97" s="32" t="s">
        <v>141</v>
      </c>
      <c r="H97" s="32" t="s">
        <v>141</v>
      </c>
      <c r="I97" s="32" t="s">
        <v>141</v>
      </c>
      <c r="J97" s="32" t="s">
        <v>141</v>
      </c>
      <c r="K97" s="32" t="s">
        <v>141</v>
      </c>
      <c r="L97" s="32"/>
      <c r="M97" s="32"/>
      <c r="N97" s="32"/>
    </row>
    <row r="98" spans="2:14" s="4" customFormat="1" x14ac:dyDescent="0.25">
      <c r="B98" s="102"/>
      <c r="C98" s="113"/>
      <c r="D98" s="111"/>
      <c r="E98" s="31" t="s">
        <v>334</v>
      </c>
      <c r="F98" s="32" t="s">
        <v>141</v>
      </c>
      <c r="G98" s="32" t="s">
        <v>141</v>
      </c>
      <c r="H98" s="32" t="s">
        <v>141</v>
      </c>
      <c r="I98" s="32" t="s">
        <v>141</v>
      </c>
      <c r="J98" s="32" t="s">
        <v>141</v>
      </c>
      <c r="K98" s="32" t="s">
        <v>141</v>
      </c>
      <c r="L98" s="32"/>
      <c r="M98" s="32"/>
      <c r="N98" s="32"/>
    </row>
    <row r="99" spans="2:14" s="4" customFormat="1" x14ac:dyDescent="0.25">
      <c r="B99" s="102"/>
      <c r="C99" s="113"/>
      <c r="D99" s="111"/>
      <c r="E99" s="31" t="s">
        <v>335</v>
      </c>
      <c r="F99" s="32" t="s">
        <v>141</v>
      </c>
      <c r="G99" s="32" t="s">
        <v>141</v>
      </c>
      <c r="H99" s="32" t="s">
        <v>141</v>
      </c>
      <c r="I99" s="32" t="s">
        <v>141</v>
      </c>
      <c r="J99" s="32" t="s">
        <v>141</v>
      </c>
      <c r="K99" s="32" t="s">
        <v>141</v>
      </c>
      <c r="L99" s="32"/>
      <c r="M99" s="32"/>
      <c r="N99" s="32"/>
    </row>
    <row r="100" spans="2:14" s="4" customFormat="1" ht="119.25" customHeight="1" x14ac:dyDescent="0.25">
      <c r="B100" s="102" t="s">
        <v>174</v>
      </c>
      <c r="C100" s="102" t="s">
        <v>175</v>
      </c>
      <c r="D100" s="111"/>
      <c r="E100" s="31" t="s">
        <v>333</v>
      </c>
      <c r="F100" s="33" t="s">
        <v>1012</v>
      </c>
      <c r="G100" s="33" t="s">
        <v>1011</v>
      </c>
      <c r="H100" s="33" t="s">
        <v>1010</v>
      </c>
      <c r="I100" s="33" t="s">
        <v>1009</v>
      </c>
      <c r="J100" s="33" t="s">
        <v>1008</v>
      </c>
      <c r="K100" s="33" t="s">
        <v>1007</v>
      </c>
      <c r="L100" s="32"/>
      <c r="M100" s="32"/>
      <c r="N100" s="32"/>
    </row>
    <row r="101" spans="2:14" s="4" customFormat="1" x14ac:dyDescent="0.25">
      <c r="B101" s="102"/>
      <c r="C101" s="102"/>
      <c r="D101" s="111"/>
      <c r="E101" s="31" t="s">
        <v>334</v>
      </c>
      <c r="F101" s="33" t="s">
        <v>1013</v>
      </c>
      <c r="G101" s="33" t="s">
        <v>1314</v>
      </c>
      <c r="H101" s="33" t="s">
        <v>489</v>
      </c>
      <c r="I101" s="33" t="s">
        <v>491</v>
      </c>
      <c r="J101" s="33" t="s">
        <v>1319</v>
      </c>
      <c r="K101" s="33" t="s">
        <v>1321</v>
      </c>
      <c r="L101" s="32"/>
      <c r="M101" s="32"/>
      <c r="N101" s="32"/>
    </row>
    <row r="102" spans="2:14" s="4" customFormat="1" x14ac:dyDescent="0.25">
      <c r="B102" s="102"/>
      <c r="C102" s="102"/>
      <c r="D102" s="111"/>
      <c r="E102" s="31" t="s">
        <v>335</v>
      </c>
      <c r="F102" s="33" t="s">
        <v>1014</v>
      </c>
      <c r="G102" s="33" t="s">
        <v>1315</v>
      </c>
      <c r="H102" s="33" t="s">
        <v>1316</v>
      </c>
      <c r="I102" s="33" t="s">
        <v>1317</v>
      </c>
      <c r="J102" s="33" t="s">
        <v>1318</v>
      </c>
      <c r="K102" s="33" t="s">
        <v>1320</v>
      </c>
      <c r="L102" s="32"/>
      <c r="M102" s="32"/>
      <c r="N102" s="32"/>
    </row>
    <row r="103" spans="2:14" s="4" customFormat="1" ht="79.5" customHeight="1" x14ac:dyDescent="0.25">
      <c r="B103" s="102" t="s">
        <v>176</v>
      </c>
      <c r="C103" s="102" t="s">
        <v>177</v>
      </c>
      <c r="D103" s="111"/>
      <c r="E103" s="31" t="s">
        <v>333</v>
      </c>
      <c r="F103" s="33" t="s">
        <v>1327</v>
      </c>
      <c r="G103" s="33" t="s">
        <v>1326</v>
      </c>
      <c r="H103" s="33" t="s">
        <v>1325</v>
      </c>
      <c r="I103" s="33" t="s">
        <v>1324</v>
      </c>
      <c r="J103" s="33" t="s">
        <v>1323</v>
      </c>
      <c r="K103" s="33" t="s">
        <v>1322</v>
      </c>
      <c r="L103" s="32"/>
      <c r="M103" s="32"/>
      <c r="N103" s="32"/>
    </row>
    <row r="104" spans="2:14" s="4" customFormat="1" x14ac:dyDescent="0.25">
      <c r="B104" s="102"/>
      <c r="C104" s="102"/>
      <c r="D104" s="111"/>
      <c r="E104" s="31" t="s">
        <v>334</v>
      </c>
      <c r="F104" s="33" t="s">
        <v>493</v>
      </c>
      <c r="G104" s="33" t="s">
        <v>494</v>
      </c>
      <c r="H104" s="33" t="s">
        <v>496</v>
      </c>
      <c r="I104" s="33" t="s">
        <v>497</v>
      </c>
      <c r="J104" s="33" t="s">
        <v>498</v>
      </c>
      <c r="K104" s="33" t="s">
        <v>1405</v>
      </c>
      <c r="L104" s="32"/>
      <c r="M104" s="32"/>
      <c r="N104" s="32"/>
    </row>
    <row r="105" spans="2:14" s="4" customFormat="1" x14ac:dyDescent="0.25">
      <c r="B105" s="102"/>
      <c r="C105" s="102"/>
      <c r="D105" s="111"/>
      <c r="E105" s="31" t="s">
        <v>335</v>
      </c>
      <c r="F105" s="33" t="s">
        <v>495</v>
      </c>
      <c r="G105" s="33" t="s">
        <v>1328</v>
      </c>
      <c r="H105" s="33" t="s">
        <v>1329</v>
      </c>
      <c r="I105" s="33" t="s">
        <v>1330</v>
      </c>
      <c r="J105" s="33" t="s">
        <v>1331</v>
      </c>
      <c r="K105" s="33" t="s">
        <v>1332</v>
      </c>
      <c r="L105" s="32"/>
      <c r="M105" s="32"/>
      <c r="N105" s="32"/>
    </row>
    <row r="106" spans="2:14" s="4" customFormat="1" ht="48" customHeight="1" x14ac:dyDescent="0.25">
      <c r="B106" s="102" t="s">
        <v>180</v>
      </c>
      <c r="C106" s="102" t="s">
        <v>181</v>
      </c>
      <c r="D106" s="111"/>
      <c r="E106" s="31" t="s">
        <v>333</v>
      </c>
      <c r="F106" s="33" t="s">
        <v>1338</v>
      </c>
      <c r="G106" s="33" t="s">
        <v>1337</v>
      </c>
      <c r="H106" s="33" t="s">
        <v>1336</v>
      </c>
      <c r="I106" s="33" t="s">
        <v>1335</v>
      </c>
      <c r="J106" s="33" t="s">
        <v>1334</v>
      </c>
      <c r="K106" s="33" t="s">
        <v>1333</v>
      </c>
      <c r="L106" s="32"/>
      <c r="M106" s="32"/>
      <c r="N106" s="32"/>
    </row>
    <row r="107" spans="2:14" s="4" customFormat="1" x14ac:dyDescent="0.25">
      <c r="B107" s="102"/>
      <c r="C107" s="102"/>
      <c r="D107" s="111"/>
      <c r="E107" s="31" t="s">
        <v>334</v>
      </c>
      <c r="F107" s="33" t="s">
        <v>499</v>
      </c>
      <c r="G107" s="33" t="s">
        <v>500</v>
      </c>
      <c r="H107" s="33" t="s">
        <v>501</v>
      </c>
      <c r="I107" s="33" t="s">
        <v>502</v>
      </c>
      <c r="J107" s="33" t="s">
        <v>503</v>
      </c>
      <c r="K107" s="33" t="s">
        <v>1406</v>
      </c>
      <c r="L107" s="32"/>
      <c r="M107" s="32"/>
      <c r="N107" s="32"/>
    </row>
    <row r="108" spans="2:14" s="4" customFormat="1" x14ac:dyDescent="0.25">
      <c r="B108" s="102"/>
      <c r="C108" s="102"/>
      <c r="D108" s="111"/>
      <c r="E108" s="31" t="s">
        <v>335</v>
      </c>
      <c r="F108" s="33">
        <v>0</v>
      </c>
      <c r="G108" s="33" t="s">
        <v>499</v>
      </c>
      <c r="H108" s="33" t="s">
        <v>1339</v>
      </c>
      <c r="I108" s="33" t="s">
        <v>1340</v>
      </c>
      <c r="J108" s="33" t="s">
        <v>1341</v>
      </c>
      <c r="K108" s="33" t="s">
        <v>1342</v>
      </c>
      <c r="L108" s="32"/>
      <c r="M108" s="32"/>
      <c r="N108" s="32"/>
    </row>
    <row r="109" spans="2:14" s="4" customFormat="1" ht="63.75" customHeight="1" x14ac:dyDescent="0.25">
      <c r="B109" s="102" t="s">
        <v>183</v>
      </c>
      <c r="C109" s="102" t="s">
        <v>184</v>
      </c>
      <c r="D109" s="111"/>
      <c r="E109" s="31" t="s">
        <v>333</v>
      </c>
      <c r="F109" s="33" t="s">
        <v>1353</v>
      </c>
      <c r="G109" s="33" t="s">
        <v>1351</v>
      </c>
      <c r="H109" s="33" t="s">
        <v>427</v>
      </c>
      <c r="I109" s="33" t="s">
        <v>1348</v>
      </c>
      <c r="J109" s="33" t="s">
        <v>1020</v>
      </c>
      <c r="K109" s="33" t="s">
        <v>1017</v>
      </c>
      <c r="L109" s="32"/>
      <c r="M109" s="32"/>
      <c r="N109" s="32"/>
    </row>
    <row r="110" spans="2:14" s="4" customFormat="1" x14ac:dyDescent="0.25">
      <c r="B110" s="102"/>
      <c r="C110" s="102"/>
      <c r="D110" s="111"/>
      <c r="E110" s="31" t="s">
        <v>334</v>
      </c>
      <c r="F110" s="33" t="s">
        <v>1021</v>
      </c>
      <c r="G110" s="33" t="s">
        <v>1352</v>
      </c>
      <c r="H110" s="33" t="s">
        <v>1350</v>
      </c>
      <c r="I110" s="33" t="s">
        <v>1349</v>
      </c>
      <c r="J110" s="33" t="s">
        <v>1019</v>
      </c>
      <c r="K110" s="33" t="s">
        <v>1018</v>
      </c>
      <c r="L110" s="32"/>
      <c r="M110" s="32"/>
      <c r="N110" s="32"/>
    </row>
    <row r="111" spans="2:14" s="4" customFormat="1" x14ac:dyDescent="0.25">
      <c r="B111" s="102"/>
      <c r="C111" s="102"/>
      <c r="D111" s="111"/>
      <c r="E111" s="31" t="s">
        <v>335</v>
      </c>
      <c r="F111" s="33" t="s">
        <v>504</v>
      </c>
      <c r="G111" s="33" t="s">
        <v>1343</v>
      </c>
      <c r="H111" s="33" t="s">
        <v>1344</v>
      </c>
      <c r="I111" s="33" t="s">
        <v>1345</v>
      </c>
      <c r="J111" s="33" t="s">
        <v>1346</v>
      </c>
      <c r="K111" s="33" t="s">
        <v>1347</v>
      </c>
      <c r="L111" s="32"/>
      <c r="M111" s="32"/>
      <c r="N111" s="32"/>
    </row>
    <row r="112" spans="2:14" s="4" customFormat="1" ht="119.25" customHeight="1" x14ac:dyDescent="0.25">
      <c r="B112" s="102" t="s">
        <v>186</v>
      </c>
      <c r="C112" s="113" t="s">
        <v>187</v>
      </c>
      <c r="D112" s="111"/>
      <c r="E112" s="31" t="s">
        <v>333</v>
      </c>
      <c r="F112" s="32" t="s">
        <v>141</v>
      </c>
      <c r="G112" s="32" t="s">
        <v>141</v>
      </c>
      <c r="H112" s="32" t="s">
        <v>141</v>
      </c>
      <c r="I112" s="32" t="s">
        <v>141</v>
      </c>
      <c r="J112" s="32" t="s">
        <v>141</v>
      </c>
      <c r="K112" s="32" t="s">
        <v>141</v>
      </c>
      <c r="L112" s="32"/>
      <c r="M112" s="32"/>
      <c r="N112" s="32"/>
    </row>
    <row r="113" spans="2:14" s="4" customFormat="1" x14ac:dyDescent="0.25">
      <c r="B113" s="102"/>
      <c r="C113" s="113"/>
      <c r="D113" s="111"/>
      <c r="E113" s="31" t="s">
        <v>334</v>
      </c>
      <c r="F113" s="32" t="s">
        <v>141</v>
      </c>
      <c r="G113" s="32" t="s">
        <v>141</v>
      </c>
      <c r="H113" s="32" t="s">
        <v>141</v>
      </c>
      <c r="I113" s="32" t="s">
        <v>141</v>
      </c>
      <c r="J113" s="32" t="s">
        <v>141</v>
      </c>
      <c r="K113" s="32" t="s">
        <v>141</v>
      </c>
      <c r="L113" s="32"/>
      <c r="M113" s="32"/>
      <c r="N113" s="32"/>
    </row>
    <row r="114" spans="2:14" s="4" customFormat="1" x14ac:dyDescent="0.25">
      <c r="B114" s="102"/>
      <c r="C114" s="113"/>
      <c r="D114" s="111"/>
      <c r="E114" s="31" t="s">
        <v>335</v>
      </c>
      <c r="F114" s="32" t="s">
        <v>141</v>
      </c>
      <c r="G114" s="32" t="s">
        <v>141</v>
      </c>
      <c r="H114" s="32" t="s">
        <v>141</v>
      </c>
      <c r="I114" s="32" t="s">
        <v>141</v>
      </c>
      <c r="J114" s="32" t="s">
        <v>141</v>
      </c>
      <c r="K114" s="32" t="s">
        <v>141</v>
      </c>
      <c r="L114" s="32"/>
      <c r="M114" s="32"/>
      <c r="N114" s="32"/>
    </row>
    <row r="115" spans="2:14" s="4" customFormat="1" ht="48" customHeight="1" x14ac:dyDescent="0.25">
      <c r="B115" s="102" t="s">
        <v>189</v>
      </c>
      <c r="C115" s="102" t="s">
        <v>190</v>
      </c>
      <c r="D115" s="111"/>
      <c r="E115" s="31" t="s">
        <v>333</v>
      </c>
      <c r="F115" s="33" t="s">
        <v>1359</v>
      </c>
      <c r="G115" s="33" t="s">
        <v>1358</v>
      </c>
      <c r="H115" s="33" t="s">
        <v>1357</v>
      </c>
      <c r="I115" s="33" t="s">
        <v>1356</v>
      </c>
      <c r="J115" s="33" t="s">
        <v>1355</v>
      </c>
      <c r="K115" s="33" t="s">
        <v>1354</v>
      </c>
      <c r="L115" s="32"/>
      <c r="M115" s="32"/>
      <c r="N115" s="32"/>
    </row>
    <row r="116" spans="2:14" s="4" customFormat="1" x14ac:dyDescent="0.25">
      <c r="B116" s="102"/>
      <c r="C116" s="102"/>
      <c r="D116" s="111"/>
      <c r="E116" s="31" t="s">
        <v>334</v>
      </c>
      <c r="F116" s="33" t="s">
        <v>505</v>
      </c>
      <c r="G116" s="33" t="s">
        <v>507</v>
      </c>
      <c r="H116" s="33" t="s">
        <v>508</v>
      </c>
      <c r="I116" s="33" t="s">
        <v>509</v>
      </c>
      <c r="J116" s="33" t="s">
        <v>510</v>
      </c>
      <c r="K116" s="33" t="s">
        <v>1407</v>
      </c>
      <c r="L116" s="32"/>
      <c r="M116" s="32"/>
      <c r="N116" s="32"/>
    </row>
    <row r="117" spans="2:14" s="4" customFormat="1" x14ac:dyDescent="0.25">
      <c r="B117" s="102"/>
      <c r="C117" s="102"/>
      <c r="D117" s="111"/>
      <c r="E117" s="31" t="s">
        <v>335</v>
      </c>
      <c r="F117" s="33" t="s">
        <v>506</v>
      </c>
      <c r="G117" s="33" t="s">
        <v>1360</v>
      </c>
      <c r="H117" s="33" t="s">
        <v>1361</v>
      </c>
      <c r="I117" s="33" t="s">
        <v>1362</v>
      </c>
      <c r="J117" s="33" t="s">
        <v>1363</v>
      </c>
      <c r="K117" s="33" t="s">
        <v>1364</v>
      </c>
      <c r="L117" s="32"/>
      <c r="M117" s="32"/>
      <c r="N117" s="32"/>
    </row>
    <row r="118" spans="2:14" s="4" customFormat="1" ht="63.75" customHeight="1" x14ac:dyDescent="0.25">
      <c r="B118" s="102" t="s">
        <v>192</v>
      </c>
      <c r="C118" s="102" t="s">
        <v>193</v>
      </c>
      <c r="D118" s="111"/>
      <c r="E118" s="31" t="s">
        <v>333</v>
      </c>
      <c r="F118" s="33" t="s">
        <v>1030</v>
      </c>
      <c r="G118" s="33" t="s">
        <v>1368</v>
      </c>
      <c r="H118" s="33" t="s">
        <v>1027</v>
      </c>
      <c r="I118" s="33" t="s">
        <v>1026</v>
      </c>
      <c r="J118" s="33" t="s">
        <v>1025</v>
      </c>
      <c r="K118" s="33" t="s">
        <v>1024</v>
      </c>
      <c r="L118" s="32"/>
      <c r="M118" s="32"/>
      <c r="N118" s="32"/>
    </row>
    <row r="119" spans="2:14" s="4" customFormat="1" ht="30" x14ac:dyDescent="0.25">
      <c r="B119" s="102"/>
      <c r="C119" s="102"/>
      <c r="D119" s="111"/>
      <c r="E119" s="31" t="s">
        <v>334</v>
      </c>
      <c r="F119" s="33" t="s">
        <v>1029</v>
      </c>
      <c r="G119" s="33" t="s">
        <v>1367</v>
      </c>
      <c r="H119" s="33" t="s">
        <v>1028</v>
      </c>
      <c r="I119" s="33" t="s">
        <v>1370</v>
      </c>
      <c r="J119" s="33" t="s">
        <v>1372</v>
      </c>
      <c r="K119" s="33" t="s">
        <v>1374</v>
      </c>
      <c r="L119" s="32"/>
      <c r="M119" s="32"/>
      <c r="N119" s="32"/>
    </row>
    <row r="120" spans="2:14" s="4" customFormat="1" x14ac:dyDescent="0.25">
      <c r="B120" s="102"/>
      <c r="C120" s="102"/>
      <c r="D120" s="111"/>
      <c r="E120" s="31" t="s">
        <v>335</v>
      </c>
      <c r="F120" s="33" t="s">
        <v>511</v>
      </c>
      <c r="G120" s="33" t="s">
        <v>1365</v>
      </c>
      <c r="H120" s="33" t="s">
        <v>1366</v>
      </c>
      <c r="I120" s="33" t="s">
        <v>1369</v>
      </c>
      <c r="J120" s="33" t="s">
        <v>1371</v>
      </c>
      <c r="K120" s="33" t="s">
        <v>1373</v>
      </c>
      <c r="L120" s="32"/>
      <c r="M120" s="32"/>
      <c r="N120" s="32"/>
    </row>
    <row r="121" spans="2:14" s="4" customFormat="1" ht="63.75" customHeight="1" x14ac:dyDescent="0.25">
      <c r="B121" s="102" t="s">
        <v>194</v>
      </c>
      <c r="C121" s="102" t="s">
        <v>195</v>
      </c>
      <c r="D121" s="111"/>
      <c r="E121" s="31" t="s">
        <v>333</v>
      </c>
      <c r="F121" s="33" t="s">
        <v>1101</v>
      </c>
      <c r="G121" s="33" t="s">
        <v>1100</v>
      </c>
      <c r="H121" s="33" t="s">
        <v>1127</v>
      </c>
      <c r="I121" s="33" t="s">
        <v>891</v>
      </c>
      <c r="J121" s="33" t="s">
        <v>1375</v>
      </c>
      <c r="K121" s="33" t="s">
        <v>1049</v>
      </c>
      <c r="L121" s="32"/>
      <c r="M121" s="32"/>
      <c r="N121" s="32"/>
    </row>
    <row r="122" spans="2:14" s="4" customFormat="1" x14ac:dyDescent="0.25">
      <c r="B122" s="102"/>
      <c r="C122" s="102"/>
      <c r="D122" s="111"/>
      <c r="E122" s="31" t="s">
        <v>334</v>
      </c>
      <c r="F122" s="33" t="s">
        <v>512</v>
      </c>
      <c r="G122" s="33" t="s">
        <v>513</v>
      </c>
      <c r="H122" s="33" t="s">
        <v>514</v>
      </c>
      <c r="I122" s="33" t="s">
        <v>515</v>
      </c>
      <c r="J122" s="33" t="s">
        <v>516</v>
      </c>
      <c r="K122" s="33" t="s">
        <v>1408</v>
      </c>
      <c r="L122" s="32"/>
      <c r="M122" s="32"/>
      <c r="N122" s="32"/>
    </row>
    <row r="123" spans="2:14" s="4" customFormat="1" x14ac:dyDescent="0.25">
      <c r="B123" s="102"/>
      <c r="C123" s="102"/>
      <c r="D123" s="111"/>
      <c r="E123" s="31" t="s">
        <v>335</v>
      </c>
      <c r="F123" s="33">
        <v>0</v>
      </c>
      <c r="G123" s="33" t="s">
        <v>512</v>
      </c>
      <c r="H123" s="33" t="s">
        <v>548</v>
      </c>
      <c r="I123" s="33" t="s">
        <v>1126</v>
      </c>
      <c r="J123" s="33" t="s">
        <v>892</v>
      </c>
      <c r="K123" s="33" t="s">
        <v>490</v>
      </c>
      <c r="L123" s="32"/>
      <c r="M123" s="32"/>
      <c r="N123" s="32"/>
    </row>
    <row r="124" spans="2:14" s="4" customFormat="1" ht="95.25" customHeight="1" x14ac:dyDescent="0.25">
      <c r="B124" s="102" t="s">
        <v>196</v>
      </c>
      <c r="C124" s="102" t="s">
        <v>197</v>
      </c>
      <c r="D124" s="111"/>
      <c r="E124" s="31" t="s">
        <v>333</v>
      </c>
      <c r="F124" s="33" t="s">
        <v>374</v>
      </c>
      <c r="G124" s="33" t="s">
        <v>1046</v>
      </c>
      <c r="H124" s="33" t="s">
        <v>1045</v>
      </c>
      <c r="I124" s="33" t="s">
        <v>1043</v>
      </c>
      <c r="J124" s="33" t="s">
        <v>1041</v>
      </c>
      <c r="K124" s="33" t="s">
        <v>1033</v>
      </c>
      <c r="L124" s="32"/>
      <c r="M124" s="32"/>
      <c r="N124" s="32"/>
    </row>
    <row r="125" spans="2:14" s="4" customFormat="1" x14ac:dyDescent="0.25">
      <c r="B125" s="102"/>
      <c r="C125" s="102"/>
      <c r="D125" s="111"/>
      <c r="E125" s="31" t="s">
        <v>334</v>
      </c>
      <c r="F125" s="33" t="s">
        <v>517</v>
      </c>
      <c r="G125" s="33" t="s">
        <v>518</v>
      </c>
      <c r="H125" s="33" t="s">
        <v>519</v>
      </c>
      <c r="I125" s="33" t="s">
        <v>1044</v>
      </c>
      <c r="J125" s="33" t="s">
        <v>1042</v>
      </c>
      <c r="K125" s="33" t="s">
        <v>1034</v>
      </c>
      <c r="L125" s="32"/>
      <c r="M125" s="32"/>
      <c r="N125" s="32"/>
    </row>
    <row r="126" spans="2:14" s="4" customFormat="1" x14ac:dyDescent="0.25">
      <c r="B126" s="102"/>
      <c r="C126" s="102"/>
      <c r="D126" s="111"/>
      <c r="E126" s="31" t="s">
        <v>335</v>
      </c>
      <c r="F126" s="33" t="s">
        <v>1035</v>
      </c>
      <c r="G126" s="33" t="s">
        <v>1036</v>
      </c>
      <c r="H126" s="33" t="s">
        <v>1037</v>
      </c>
      <c r="I126" s="33" t="s">
        <v>1038</v>
      </c>
      <c r="J126" s="33" t="s">
        <v>1039</v>
      </c>
      <c r="K126" s="33" t="s">
        <v>1040</v>
      </c>
      <c r="L126" s="32"/>
      <c r="M126" s="32"/>
      <c r="N126" s="32"/>
    </row>
    <row r="127" spans="2:14" s="4" customFormat="1" ht="79.5" customHeight="1" x14ac:dyDescent="0.25">
      <c r="B127" s="102" t="s">
        <v>201</v>
      </c>
      <c r="C127" s="102" t="s">
        <v>203</v>
      </c>
      <c r="D127" s="111"/>
      <c r="E127" s="31" t="s">
        <v>333</v>
      </c>
      <c r="F127" s="33" t="s">
        <v>1322</v>
      </c>
      <c r="G127" s="33" t="s">
        <v>909</v>
      </c>
      <c r="H127" s="33" t="s">
        <v>424</v>
      </c>
      <c r="I127" s="33" t="s">
        <v>1376</v>
      </c>
      <c r="J127" s="33" t="s">
        <v>1092</v>
      </c>
      <c r="K127" s="33" t="s">
        <v>427</v>
      </c>
      <c r="L127" s="32"/>
      <c r="M127" s="32"/>
      <c r="N127" s="32"/>
    </row>
    <row r="128" spans="2:14" s="4" customFormat="1" x14ac:dyDescent="0.25">
      <c r="B128" s="102"/>
      <c r="C128" s="102"/>
      <c r="D128" s="111"/>
      <c r="E128" s="31" t="s">
        <v>334</v>
      </c>
      <c r="F128" s="33" t="s">
        <v>520</v>
      </c>
      <c r="G128" s="33" t="s">
        <v>521</v>
      </c>
      <c r="H128" s="33" t="s">
        <v>522</v>
      </c>
      <c r="I128" s="33" t="s">
        <v>523</v>
      </c>
      <c r="J128" s="33" t="s">
        <v>524</v>
      </c>
      <c r="K128" s="33" t="s">
        <v>1409</v>
      </c>
      <c r="L128" s="32"/>
      <c r="M128" s="32"/>
      <c r="N128" s="32"/>
    </row>
    <row r="129" spans="2:14" s="4" customFormat="1" x14ac:dyDescent="0.25">
      <c r="B129" s="102"/>
      <c r="C129" s="102"/>
      <c r="D129" s="111"/>
      <c r="E129" s="31" t="s">
        <v>335</v>
      </c>
      <c r="F129" s="33">
        <v>0</v>
      </c>
      <c r="G129" s="33" t="s">
        <v>520</v>
      </c>
      <c r="H129" s="33" t="s">
        <v>1178</v>
      </c>
      <c r="I129" s="33" t="s">
        <v>421</v>
      </c>
      <c r="J129" s="33" t="s">
        <v>1377</v>
      </c>
      <c r="K129" s="33" t="s">
        <v>1378</v>
      </c>
      <c r="L129" s="32"/>
      <c r="M129" s="32"/>
      <c r="N129" s="32"/>
    </row>
    <row r="130" spans="2:14" s="4" customFormat="1" ht="63.75" customHeight="1" x14ac:dyDescent="0.25">
      <c r="B130" s="102" t="s">
        <v>202</v>
      </c>
      <c r="C130" s="102" t="s">
        <v>204</v>
      </c>
      <c r="D130" s="111"/>
      <c r="E130" s="31" t="s">
        <v>333</v>
      </c>
      <c r="F130" s="33" t="s">
        <v>1047</v>
      </c>
      <c r="G130" s="33" t="s">
        <v>1048</v>
      </c>
      <c r="H130" s="33" t="s">
        <v>1057</v>
      </c>
      <c r="I130" s="33" t="s">
        <v>1054</v>
      </c>
      <c r="J130" s="33" t="s">
        <v>1051</v>
      </c>
      <c r="K130" s="33" t="s">
        <v>1049</v>
      </c>
      <c r="L130" s="32"/>
      <c r="M130" s="32"/>
      <c r="N130" s="32"/>
    </row>
    <row r="131" spans="2:14" s="4" customFormat="1" x14ac:dyDescent="0.25">
      <c r="B131" s="102"/>
      <c r="C131" s="102"/>
      <c r="D131" s="111"/>
      <c r="E131" s="31" t="s">
        <v>334</v>
      </c>
      <c r="F131" s="33" t="s">
        <v>525</v>
      </c>
      <c r="G131" s="33" t="s">
        <v>527</v>
      </c>
      <c r="H131" s="33" t="s">
        <v>528</v>
      </c>
      <c r="I131" s="33" t="s">
        <v>1055</v>
      </c>
      <c r="J131" s="33" t="s">
        <v>1052</v>
      </c>
      <c r="K131" s="33" t="s">
        <v>529</v>
      </c>
      <c r="L131" s="32"/>
      <c r="M131" s="32"/>
      <c r="N131" s="32"/>
    </row>
    <row r="132" spans="2:14" s="4" customFormat="1" x14ac:dyDescent="0.25">
      <c r="B132" s="102"/>
      <c r="C132" s="102"/>
      <c r="D132" s="111"/>
      <c r="E132" s="31" t="s">
        <v>335</v>
      </c>
      <c r="F132" s="33" t="s">
        <v>526</v>
      </c>
      <c r="G132" s="33" t="s">
        <v>1059</v>
      </c>
      <c r="H132" s="33" t="s">
        <v>1058</v>
      </c>
      <c r="I132" s="33" t="s">
        <v>1056</v>
      </c>
      <c r="J132" s="33" t="s">
        <v>1053</v>
      </c>
      <c r="K132" s="33" t="s">
        <v>1050</v>
      </c>
      <c r="L132" s="32"/>
      <c r="M132" s="32"/>
      <c r="N132" s="32"/>
    </row>
    <row r="133" spans="2:14" s="4" customFormat="1" ht="48" customHeight="1" x14ac:dyDescent="0.25">
      <c r="B133" s="102" t="s">
        <v>207</v>
      </c>
      <c r="C133" s="102" t="s">
        <v>208</v>
      </c>
      <c r="D133" s="111"/>
      <c r="E133" s="31" t="s">
        <v>333</v>
      </c>
      <c r="F133" s="33" t="s">
        <v>1132</v>
      </c>
      <c r="G133" s="33" t="s">
        <v>1131</v>
      </c>
      <c r="H133" s="33" t="s">
        <v>1380</v>
      </c>
      <c r="I133" s="33" t="s">
        <v>1379</v>
      </c>
      <c r="J133" s="33" t="s">
        <v>1322</v>
      </c>
      <c r="K133" s="33" t="s">
        <v>1124</v>
      </c>
      <c r="L133" s="32"/>
      <c r="M133" s="32"/>
      <c r="N133" s="32"/>
    </row>
    <row r="134" spans="2:14" s="4" customFormat="1" x14ac:dyDescent="0.25">
      <c r="B134" s="102"/>
      <c r="C134" s="102"/>
      <c r="D134" s="111"/>
      <c r="E134" s="31" t="s">
        <v>334</v>
      </c>
      <c r="F134" s="33" t="s">
        <v>477</v>
      </c>
      <c r="G134" s="33" t="s">
        <v>530</v>
      </c>
      <c r="H134" s="33" t="s">
        <v>531</v>
      </c>
      <c r="I134" s="33" t="s">
        <v>532</v>
      </c>
      <c r="J134" s="33" t="s">
        <v>533</v>
      </c>
      <c r="K134" s="33" t="s">
        <v>1383</v>
      </c>
      <c r="L134" s="32"/>
      <c r="M134" s="32"/>
      <c r="N134" s="32"/>
    </row>
    <row r="135" spans="2:14" s="4" customFormat="1" x14ac:dyDescent="0.25">
      <c r="B135" s="102"/>
      <c r="C135" s="102"/>
      <c r="D135" s="111"/>
      <c r="E135" s="31" t="s">
        <v>335</v>
      </c>
      <c r="F135" s="33">
        <v>0</v>
      </c>
      <c r="G135" s="33" t="s">
        <v>477</v>
      </c>
      <c r="H135" s="33" t="s">
        <v>1130</v>
      </c>
      <c r="I135" s="33" t="s">
        <v>1381</v>
      </c>
      <c r="J135" s="33" t="s">
        <v>1382</v>
      </c>
      <c r="K135" s="33" t="s">
        <v>520</v>
      </c>
      <c r="L135" s="32"/>
      <c r="M135" s="32"/>
      <c r="N135" s="32"/>
    </row>
    <row r="136" spans="2:14" s="4" customFormat="1" ht="33.75" customHeight="1" x14ac:dyDescent="0.25">
      <c r="B136" s="102" t="s">
        <v>209</v>
      </c>
      <c r="C136" s="102" t="s">
        <v>210</v>
      </c>
      <c r="D136" s="111"/>
      <c r="E136" s="31" t="s">
        <v>333</v>
      </c>
      <c r="F136" s="33" t="s">
        <v>1389</v>
      </c>
      <c r="G136" s="33" t="s">
        <v>1388</v>
      </c>
      <c r="H136" s="33" t="s">
        <v>1387</v>
      </c>
      <c r="I136" s="33" t="s">
        <v>1386</v>
      </c>
      <c r="J136" s="33" t="s">
        <v>1385</v>
      </c>
      <c r="K136" s="33" t="s">
        <v>1292</v>
      </c>
      <c r="L136" s="32"/>
      <c r="M136" s="32"/>
      <c r="N136" s="32"/>
    </row>
    <row r="137" spans="2:14" s="4" customFormat="1" x14ac:dyDescent="0.25">
      <c r="B137" s="102"/>
      <c r="C137" s="102"/>
      <c r="D137" s="111"/>
      <c r="E137" s="31" t="s">
        <v>334</v>
      </c>
      <c r="F137" s="33" t="s">
        <v>534</v>
      </c>
      <c r="G137" s="33" t="s">
        <v>536</v>
      </c>
      <c r="H137" s="33" t="s">
        <v>537</v>
      </c>
      <c r="I137" s="33" t="s">
        <v>538</v>
      </c>
      <c r="J137" s="33" t="s">
        <v>539</v>
      </c>
      <c r="K137" s="33" t="s">
        <v>1384</v>
      </c>
      <c r="L137" s="32"/>
      <c r="M137" s="32"/>
      <c r="N137" s="32"/>
    </row>
    <row r="138" spans="2:14" s="4" customFormat="1" x14ac:dyDescent="0.25">
      <c r="B138" s="102"/>
      <c r="C138" s="102"/>
      <c r="D138" s="111"/>
      <c r="E138" s="31" t="s">
        <v>335</v>
      </c>
      <c r="F138" s="33" t="s">
        <v>535</v>
      </c>
      <c r="G138" s="33" t="s">
        <v>1390</v>
      </c>
      <c r="H138" s="33" t="s">
        <v>1391</v>
      </c>
      <c r="I138" s="33" t="s">
        <v>1392</v>
      </c>
      <c r="J138" s="33" t="s">
        <v>1393</v>
      </c>
      <c r="K138" s="33" t="s">
        <v>1394</v>
      </c>
      <c r="L138" s="32"/>
      <c r="M138" s="32"/>
      <c r="N138" s="32"/>
    </row>
    <row r="139" spans="2:14" s="4" customFormat="1" ht="72" customHeight="1" x14ac:dyDescent="0.25">
      <c r="B139" s="102" t="s">
        <v>211</v>
      </c>
      <c r="C139" s="102" t="s">
        <v>212</v>
      </c>
      <c r="D139" s="111"/>
      <c r="E139" s="31" t="s">
        <v>333</v>
      </c>
      <c r="F139" s="67" t="s">
        <v>1401</v>
      </c>
      <c r="G139" s="33" t="s">
        <v>1401</v>
      </c>
      <c r="H139" s="67" t="s">
        <v>1400</v>
      </c>
      <c r="I139" s="33" t="s">
        <v>1400</v>
      </c>
      <c r="J139" s="33" t="s">
        <v>1399</v>
      </c>
      <c r="K139" s="33" t="s">
        <v>1398</v>
      </c>
      <c r="L139" s="32"/>
      <c r="M139" s="32"/>
      <c r="N139" s="32"/>
    </row>
    <row r="140" spans="2:14" s="4" customFormat="1" x14ac:dyDescent="0.25">
      <c r="B140" s="102"/>
      <c r="C140" s="102"/>
      <c r="D140" s="111"/>
      <c r="E140" s="31" t="s">
        <v>334</v>
      </c>
      <c r="F140" s="33" t="s">
        <v>540</v>
      </c>
      <c r="G140" s="33">
        <v>0.05</v>
      </c>
      <c r="H140" s="33" t="s">
        <v>542</v>
      </c>
      <c r="I140" s="33">
        <v>0.04</v>
      </c>
      <c r="J140" s="33" t="s">
        <v>543</v>
      </c>
      <c r="K140" s="33" t="s">
        <v>1402</v>
      </c>
      <c r="L140" s="32"/>
      <c r="M140" s="32"/>
      <c r="N140" s="32"/>
    </row>
    <row r="141" spans="2:14" s="4" customFormat="1" x14ac:dyDescent="0.25">
      <c r="B141" s="102"/>
      <c r="C141" s="102"/>
      <c r="D141" s="111"/>
      <c r="E141" s="31" t="s">
        <v>335</v>
      </c>
      <c r="F141" s="33" t="s">
        <v>541</v>
      </c>
      <c r="G141" s="33" t="s">
        <v>1395</v>
      </c>
      <c r="H141" s="33" t="s">
        <v>1395</v>
      </c>
      <c r="I141" s="33" t="s">
        <v>1396</v>
      </c>
      <c r="J141" s="33" t="s">
        <v>1396</v>
      </c>
      <c r="K141" s="33" t="s">
        <v>1397</v>
      </c>
      <c r="L141" s="32"/>
      <c r="M141" s="32"/>
      <c r="N141" s="32"/>
    </row>
    <row r="142" spans="2:14" s="4" customFormat="1" ht="42" customHeight="1" x14ac:dyDescent="0.25">
      <c r="B142" s="102" t="s">
        <v>213</v>
      </c>
      <c r="C142" s="102" t="s">
        <v>214</v>
      </c>
      <c r="D142" s="111"/>
      <c r="E142" s="31" t="s">
        <v>333</v>
      </c>
      <c r="F142" s="33" t="s">
        <v>424</v>
      </c>
      <c r="G142" s="33" t="s">
        <v>1074</v>
      </c>
      <c r="H142" s="33" t="s">
        <v>1071</v>
      </c>
      <c r="I142" s="33" t="s">
        <v>1068</v>
      </c>
      <c r="J142" s="33" t="s">
        <v>1065</v>
      </c>
      <c r="K142" s="33" t="s">
        <v>1062</v>
      </c>
      <c r="L142" s="32"/>
      <c r="M142" s="32"/>
      <c r="N142" s="32"/>
    </row>
    <row r="143" spans="2:14" s="4" customFormat="1" x14ac:dyDescent="0.25">
      <c r="B143" s="102"/>
      <c r="C143" s="102"/>
      <c r="D143" s="111"/>
      <c r="E143" s="31" t="s">
        <v>334</v>
      </c>
      <c r="F143" s="33" t="s">
        <v>421</v>
      </c>
      <c r="G143" s="33" t="s">
        <v>544</v>
      </c>
      <c r="H143" s="33" t="s">
        <v>1072</v>
      </c>
      <c r="I143" s="33" t="s">
        <v>1069</v>
      </c>
      <c r="J143" s="33" t="s">
        <v>1066</v>
      </c>
      <c r="K143" s="33" t="s">
        <v>1063</v>
      </c>
      <c r="L143" s="32"/>
      <c r="M143" s="32"/>
      <c r="N143" s="32"/>
    </row>
    <row r="144" spans="2:14" s="4" customFormat="1" x14ac:dyDescent="0.25">
      <c r="B144" s="102"/>
      <c r="C144" s="102"/>
      <c r="D144" s="111"/>
      <c r="E144" s="31" t="s">
        <v>335</v>
      </c>
      <c r="F144" s="33">
        <v>0</v>
      </c>
      <c r="G144" s="33" t="s">
        <v>421</v>
      </c>
      <c r="H144" s="33" t="s">
        <v>1073</v>
      </c>
      <c r="I144" s="33" t="s">
        <v>1070</v>
      </c>
      <c r="J144" s="33" t="s">
        <v>1067</v>
      </c>
      <c r="K144" s="33" t="s">
        <v>1064</v>
      </c>
      <c r="L144" s="32"/>
      <c r="M144" s="32"/>
      <c r="N144" s="32"/>
    </row>
    <row r="145" spans="2:14" s="4" customFormat="1" ht="48" customHeight="1" x14ac:dyDescent="0.25">
      <c r="B145" s="102" t="s">
        <v>215</v>
      </c>
      <c r="C145" s="102" t="s">
        <v>216</v>
      </c>
      <c r="D145" s="111"/>
      <c r="E145" s="31" t="s">
        <v>333</v>
      </c>
      <c r="F145" s="33" t="s">
        <v>945</v>
      </c>
      <c r="G145" s="33" t="s">
        <v>1089</v>
      </c>
      <c r="H145" s="33" t="s">
        <v>1086</v>
      </c>
      <c r="I145" s="33" t="s">
        <v>1083</v>
      </c>
      <c r="J145" s="33" t="s">
        <v>1080</v>
      </c>
      <c r="K145" s="33" t="s">
        <v>1077</v>
      </c>
      <c r="L145" s="32"/>
      <c r="M145" s="32"/>
      <c r="N145" s="32"/>
    </row>
    <row r="146" spans="2:14" s="4" customFormat="1" x14ac:dyDescent="0.25">
      <c r="B146" s="102"/>
      <c r="C146" s="102"/>
      <c r="D146" s="111"/>
      <c r="E146" s="31" t="s">
        <v>334</v>
      </c>
      <c r="F146" s="33" t="s">
        <v>545</v>
      </c>
      <c r="G146" s="33" t="s">
        <v>546</v>
      </c>
      <c r="H146" s="33" t="s">
        <v>1087</v>
      </c>
      <c r="I146" s="33" t="s">
        <v>1084</v>
      </c>
      <c r="J146" s="33" t="s">
        <v>1081</v>
      </c>
      <c r="K146" s="33" t="s">
        <v>1078</v>
      </c>
      <c r="L146" s="32"/>
      <c r="M146" s="32"/>
      <c r="N146" s="32"/>
    </row>
    <row r="147" spans="2:14" s="4" customFormat="1" x14ac:dyDescent="0.25">
      <c r="B147" s="102"/>
      <c r="C147" s="102"/>
      <c r="D147" s="111"/>
      <c r="E147" s="31" t="s">
        <v>335</v>
      </c>
      <c r="F147" s="33">
        <v>0</v>
      </c>
      <c r="G147" s="33" t="s">
        <v>545</v>
      </c>
      <c r="H147" s="33" t="s">
        <v>1088</v>
      </c>
      <c r="I147" s="33" t="s">
        <v>1085</v>
      </c>
      <c r="J147" s="33" t="s">
        <v>1082</v>
      </c>
      <c r="K147" s="33" t="s">
        <v>1079</v>
      </c>
      <c r="L147" s="32"/>
      <c r="M147" s="32"/>
      <c r="N147" s="32"/>
    </row>
    <row r="148" spans="2:14" s="4" customFormat="1" ht="99.75" customHeight="1" x14ac:dyDescent="0.25">
      <c r="B148" s="102" t="s">
        <v>217</v>
      </c>
      <c r="C148" s="113" t="s">
        <v>168</v>
      </c>
      <c r="D148" s="111"/>
      <c r="E148" s="31" t="s">
        <v>333</v>
      </c>
      <c r="F148" s="32" t="s">
        <v>141</v>
      </c>
      <c r="G148" s="32" t="s">
        <v>141</v>
      </c>
      <c r="H148" s="32" t="s">
        <v>141</v>
      </c>
      <c r="I148" s="32" t="s">
        <v>141</v>
      </c>
      <c r="J148" s="32" t="s">
        <v>141</v>
      </c>
      <c r="K148" s="32" t="s">
        <v>141</v>
      </c>
      <c r="L148" s="32"/>
      <c r="M148" s="32"/>
      <c r="N148" s="32"/>
    </row>
    <row r="149" spans="2:14" s="4" customFormat="1" x14ac:dyDescent="0.25">
      <c r="B149" s="102"/>
      <c r="C149" s="113"/>
      <c r="D149" s="111"/>
      <c r="E149" s="31" t="s">
        <v>334</v>
      </c>
      <c r="F149" s="32" t="s">
        <v>141</v>
      </c>
      <c r="G149" s="32" t="s">
        <v>141</v>
      </c>
      <c r="H149" s="32" t="s">
        <v>141</v>
      </c>
      <c r="I149" s="32" t="s">
        <v>141</v>
      </c>
      <c r="J149" s="32" t="s">
        <v>141</v>
      </c>
      <c r="K149" s="32" t="s">
        <v>141</v>
      </c>
      <c r="L149" s="32"/>
      <c r="M149" s="32"/>
      <c r="N149" s="32"/>
    </row>
    <row r="150" spans="2:14" s="4" customFormat="1" x14ac:dyDescent="0.25">
      <c r="B150" s="102"/>
      <c r="C150" s="113"/>
      <c r="D150" s="111"/>
      <c r="E150" s="31" t="s">
        <v>335</v>
      </c>
      <c r="F150" s="32" t="s">
        <v>141</v>
      </c>
      <c r="G150" s="32" t="s">
        <v>141</v>
      </c>
      <c r="H150" s="32" t="s">
        <v>141</v>
      </c>
      <c r="I150" s="32" t="s">
        <v>141</v>
      </c>
      <c r="J150" s="32" t="s">
        <v>141</v>
      </c>
      <c r="K150" s="32" t="s">
        <v>141</v>
      </c>
      <c r="L150" s="32"/>
      <c r="M150" s="32"/>
      <c r="N150" s="32"/>
    </row>
    <row r="151" spans="2:14" s="4" customFormat="1" ht="63.75" customHeight="1" x14ac:dyDescent="0.25">
      <c r="B151" s="102" t="s">
        <v>218</v>
      </c>
      <c r="C151" s="102" t="s">
        <v>547</v>
      </c>
      <c r="D151" s="111"/>
      <c r="E151" s="31" t="s">
        <v>333</v>
      </c>
      <c r="F151" s="33" t="s">
        <v>1101</v>
      </c>
      <c r="G151" s="33" t="s">
        <v>1100</v>
      </c>
      <c r="H151" s="33" t="s">
        <v>891</v>
      </c>
      <c r="I151" s="33" t="s">
        <v>1098</v>
      </c>
      <c r="J151" s="33" t="s">
        <v>1095</v>
      </c>
      <c r="K151" s="33" t="s">
        <v>1092</v>
      </c>
      <c r="L151" s="32"/>
      <c r="M151" s="32"/>
      <c r="N151" s="32"/>
    </row>
    <row r="152" spans="2:14" s="4" customFormat="1" x14ac:dyDescent="0.25">
      <c r="B152" s="102"/>
      <c r="C152" s="102"/>
      <c r="D152" s="111"/>
      <c r="E152" s="31" t="s">
        <v>334</v>
      </c>
      <c r="F152" s="33" t="s">
        <v>512</v>
      </c>
      <c r="G152" s="33" t="s">
        <v>513</v>
      </c>
      <c r="H152" s="33" t="s">
        <v>549</v>
      </c>
      <c r="I152" s="33" t="s">
        <v>1099</v>
      </c>
      <c r="J152" s="33" t="s">
        <v>1096</v>
      </c>
      <c r="K152" s="33" t="s">
        <v>1093</v>
      </c>
      <c r="L152" s="32"/>
      <c r="M152" s="32"/>
      <c r="N152" s="32"/>
    </row>
    <row r="153" spans="2:14" s="4" customFormat="1" x14ac:dyDescent="0.25">
      <c r="B153" s="102"/>
      <c r="C153" s="102"/>
      <c r="D153" s="111"/>
      <c r="E153" s="31" t="s">
        <v>335</v>
      </c>
      <c r="F153" s="33">
        <v>0</v>
      </c>
      <c r="G153" s="33" t="s">
        <v>512</v>
      </c>
      <c r="H153" s="33" t="s">
        <v>548</v>
      </c>
      <c r="I153" s="33" t="s">
        <v>892</v>
      </c>
      <c r="J153" s="33" t="s">
        <v>1097</v>
      </c>
      <c r="K153" s="33" t="s">
        <v>1094</v>
      </c>
      <c r="L153" s="32"/>
      <c r="M153" s="32"/>
      <c r="N153" s="32"/>
    </row>
    <row r="154" spans="2:14" s="4" customFormat="1" ht="95.25" customHeight="1" x14ac:dyDescent="0.25">
      <c r="B154" s="102" t="s">
        <v>220</v>
      </c>
      <c r="C154" s="102" t="s">
        <v>221</v>
      </c>
      <c r="D154" s="111"/>
      <c r="E154" s="31" t="s">
        <v>333</v>
      </c>
      <c r="F154" s="33" t="s">
        <v>1100</v>
      </c>
      <c r="G154" s="33" t="s">
        <v>891</v>
      </c>
      <c r="H154" s="33" t="s">
        <v>1107</v>
      </c>
      <c r="I154" s="33" t="s">
        <v>1104</v>
      </c>
      <c r="J154" s="33" t="s">
        <v>1074</v>
      </c>
      <c r="K154" s="33" t="s">
        <v>1102</v>
      </c>
      <c r="L154" s="32"/>
      <c r="M154" s="32"/>
      <c r="N154" s="32"/>
    </row>
    <row r="155" spans="2:14" s="4" customFormat="1" x14ac:dyDescent="0.25">
      <c r="B155" s="102"/>
      <c r="C155" s="102"/>
      <c r="D155" s="111"/>
      <c r="E155" s="31" t="s">
        <v>334</v>
      </c>
      <c r="F155" s="33" t="s">
        <v>548</v>
      </c>
      <c r="G155" s="33" t="s">
        <v>549</v>
      </c>
      <c r="H155" s="33" t="s">
        <v>550</v>
      </c>
      <c r="I155" s="33" t="s">
        <v>1105</v>
      </c>
      <c r="J155" s="33" t="s">
        <v>958</v>
      </c>
      <c r="K155" s="33" t="s">
        <v>957</v>
      </c>
      <c r="L155" s="32"/>
      <c r="M155" s="32"/>
      <c r="N155" s="32"/>
    </row>
    <row r="156" spans="2:14" s="4" customFormat="1" x14ac:dyDescent="0.25">
      <c r="B156" s="102"/>
      <c r="C156" s="102"/>
      <c r="D156" s="111"/>
      <c r="E156" s="31" t="s">
        <v>335</v>
      </c>
      <c r="F156" s="33">
        <v>0</v>
      </c>
      <c r="G156" s="33" t="s">
        <v>548</v>
      </c>
      <c r="H156" s="33" t="s">
        <v>892</v>
      </c>
      <c r="I156" s="33" t="s">
        <v>1106</v>
      </c>
      <c r="J156" s="33" t="s">
        <v>1103</v>
      </c>
      <c r="K156" s="33" t="s">
        <v>1073</v>
      </c>
      <c r="L156" s="32"/>
      <c r="M156" s="32"/>
      <c r="N156" s="32"/>
    </row>
    <row r="157" spans="2:14" s="4" customFormat="1" ht="158.25" customHeight="1" x14ac:dyDescent="0.25">
      <c r="B157" s="102" t="s">
        <v>225</v>
      </c>
      <c r="C157" s="102" t="s">
        <v>226</v>
      </c>
      <c r="D157" s="111"/>
      <c r="E157" s="31" t="s">
        <v>333</v>
      </c>
      <c r="F157" s="33" t="s">
        <v>1123</v>
      </c>
      <c r="G157" s="33" t="s">
        <v>1122</v>
      </c>
      <c r="H157" s="33" t="s">
        <v>1119</v>
      </c>
      <c r="I157" s="33" t="s">
        <v>1116</v>
      </c>
      <c r="J157" s="33" t="s">
        <v>1113</v>
      </c>
      <c r="K157" s="33" t="s">
        <v>1110</v>
      </c>
      <c r="L157" s="32"/>
      <c r="M157" s="32"/>
      <c r="N157" s="32"/>
    </row>
    <row r="158" spans="2:14" s="4" customFormat="1" x14ac:dyDescent="0.25">
      <c r="B158" s="102"/>
      <c r="C158" s="102"/>
      <c r="D158" s="111"/>
      <c r="E158" s="31" t="s">
        <v>334</v>
      </c>
      <c r="F158" s="33" t="s">
        <v>551</v>
      </c>
      <c r="G158" s="33" t="s">
        <v>552</v>
      </c>
      <c r="H158" s="33" t="s">
        <v>1120</v>
      </c>
      <c r="I158" s="33" t="s">
        <v>1117</v>
      </c>
      <c r="J158" s="33" t="s">
        <v>1114</v>
      </c>
      <c r="K158" s="33" t="s">
        <v>1111</v>
      </c>
      <c r="L158" s="32"/>
      <c r="M158" s="32"/>
      <c r="N158" s="32"/>
    </row>
    <row r="159" spans="2:14" s="4" customFormat="1" x14ac:dyDescent="0.25">
      <c r="B159" s="102"/>
      <c r="C159" s="102"/>
      <c r="D159" s="111"/>
      <c r="E159" s="31" t="s">
        <v>335</v>
      </c>
      <c r="F159" s="33">
        <v>0</v>
      </c>
      <c r="G159" s="33" t="s">
        <v>551</v>
      </c>
      <c r="H159" s="33" t="s">
        <v>1121</v>
      </c>
      <c r="I159" s="33" t="s">
        <v>1118</v>
      </c>
      <c r="J159" s="33" t="s">
        <v>1115</v>
      </c>
      <c r="K159" s="33" t="s">
        <v>1112</v>
      </c>
      <c r="L159" s="32"/>
      <c r="M159" s="32"/>
      <c r="N159" s="32"/>
    </row>
    <row r="160" spans="2:14" s="4" customFormat="1" ht="63.75" customHeight="1" x14ac:dyDescent="0.25">
      <c r="B160" s="102" t="s">
        <v>227</v>
      </c>
      <c r="C160" s="102" t="s">
        <v>228</v>
      </c>
      <c r="D160" s="111"/>
      <c r="E160" s="31" t="s">
        <v>333</v>
      </c>
      <c r="F160" s="33" t="s">
        <v>1132</v>
      </c>
      <c r="G160" s="33" t="s">
        <v>1131</v>
      </c>
      <c r="H160" s="33" t="s">
        <v>1101</v>
      </c>
      <c r="I160" s="33" t="s">
        <v>1123</v>
      </c>
      <c r="J160" s="33" t="s">
        <v>1127</v>
      </c>
      <c r="K160" s="33" t="s">
        <v>1124</v>
      </c>
      <c r="L160" s="32"/>
      <c r="M160" s="32"/>
      <c r="N160" s="32"/>
    </row>
    <row r="161" spans="2:14" s="4" customFormat="1" x14ac:dyDescent="0.25">
      <c r="B161" s="102"/>
      <c r="C161" s="102"/>
      <c r="D161" s="111"/>
      <c r="E161" s="31" t="s">
        <v>334</v>
      </c>
      <c r="F161" s="33" t="s">
        <v>477</v>
      </c>
      <c r="G161" s="33" t="s">
        <v>530</v>
      </c>
      <c r="H161" s="33" t="s">
        <v>553</v>
      </c>
      <c r="I161" s="33" t="s">
        <v>1129</v>
      </c>
      <c r="J161" s="33" t="s">
        <v>1128</v>
      </c>
      <c r="K161" s="33" t="s">
        <v>1125</v>
      </c>
      <c r="L161" s="32"/>
      <c r="M161" s="32"/>
      <c r="N161" s="32"/>
    </row>
    <row r="162" spans="2:14" s="4" customFormat="1" x14ac:dyDescent="0.25">
      <c r="B162" s="102"/>
      <c r="C162" s="102"/>
      <c r="D162" s="111"/>
      <c r="E162" s="31" t="s">
        <v>335</v>
      </c>
      <c r="F162" s="33">
        <v>0</v>
      </c>
      <c r="G162" s="33" t="s">
        <v>477</v>
      </c>
      <c r="H162" s="33" t="s">
        <v>1130</v>
      </c>
      <c r="I162" s="33" t="s">
        <v>512</v>
      </c>
      <c r="J162" s="33" t="s">
        <v>551</v>
      </c>
      <c r="K162" s="33" t="s">
        <v>1126</v>
      </c>
      <c r="L162" s="32"/>
      <c r="M162" s="32"/>
      <c r="N162" s="32"/>
    </row>
    <row r="163" spans="2:14" ht="15.75" x14ac:dyDescent="0.25">
      <c r="B163" s="2" t="s">
        <v>20</v>
      </c>
      <c r="C163" s="16"/>
      <c r="D163" s="15"/>
      <c r="E163" s="21"/>
      <c r="F163" s="15"/>
      <c r="G163" s="15"/>
      <c r="H163" s="15"/>
      <c r="I163" s="15"/>
      <c r="J163" s="15"/>
      <c r="K163" s="15"/>
      <c r="L163" s="15"/>
      <c r="M163" s="15"/>
      <c r="N163" s="15"/>
    </row>
    <row r="164" spans="2:14" ht="15.75" x14ac:dyDescent="0.25">
      <c r="B164" s="2" t="s">
        <v>21</v>
      </c>
      <c r="C164" s="6"/>
      <c r="D164" s="6"/>
      <c r="E164" s="6"/>
      <c r="F164" s="6"/>
      <c r="G164" s="6"/>
      <c r="H164" s="6"/>
      <c r="I164" s="6"/>
      <c r="J164" s="6"/>
      <c r="K164" s="6"/>
      <c r="L164" s="6"/>
      <c r="M164" s="6"/>
      <c r="N164" s="6"/>
    </row>
    <row r="165" spans="2:14" x14ac:dyDescent="0.25">
      <c r="B165" s="17"/>
      <c r="C165" s="6"/>
      <c r="D165" s="6"/>
      <c r="E165" s="6"/>
      <c r="F165" s="6"/>
      <c r="G165" s="6"/>
      <c r="H165" s="6"/>
      <c r="I165" s="6"/>
      <c r="J165" s="6"/>
      <c r="K165" s="6"/>
      <c r="L165" s="6"/>
      <c r="M165" s="6"/>
      <c r="N165" s="6"/>
    </row>
    <row r="166" spans="2:14" x14ac:dyDescent="0.25">
      <c r="B166" s="17"/>
      <c r="C166" s="6"/>
      <c r="D166" s="6"/>
      <c r="E166" s="6"/>
      <c r="F166" s="6"/>
      <c r="G166" s="6"/>
      <c r="H166" s="6"/>
      <c r="I166" s="6"/>
      <c r="J166" s="6"/>
      <c r="K166" s="6"/>
      <c r="L166" s="6"/>
      <c r="M166" s="6"/>
      <c r="N166" s="6"/>
    </row>
  </sheetData>
  <mergeCells count="211">
    <mergeCell ref="B12:B14"/>
    <mergeCell ref="C12:C14"/>
    <mergeCell ref="D12:D14"/>
    <mergeCell ref="B9:B11"/>
    <mergeCell ref="C9:C11"/>
    <mergeCell ref="D9:D11"/>
    <mergeCell ref="B5:N5"/>
    <mergeCell ref="K17:K18"/>
    <mergeCell ref="B15:B18"/>
    <mergeCell ref="N17:N18"/>
    <mergeCell ref="M17:M18"/>
    <mergeCell ref="L17:L18"/>
    <mergeCell ref="E17:E18"/>
    <mergeCell ref="D15:D18"/>
    <mergeCell ref="C15:C18"/>
    <mergeCell ref="F17:F18"/>
    <mergeCell ref="G17:G18"/>
    <mergeCell ref="H17:H18"/>
    <mergeCell ref="I17:I18"/>
    <mergeCell ref="J17:J18"/>
    <mergeCell ref="N21:N22"/>
    <mergeCell ref="M21:M22"/>
    <mergeCell ref="L21:L22"/>
    <mergeCell ref="I21:I22"/>
    <mergeCell ref="J21:J22"/>
    <mergeCell ref="K21:K22"/>
    <mergeCell ref="E21:E22"/>
    <mergeCell ref="K1:N1"/>
    <mergeCell ref="K2:N2"/>
    <mergeCell ref="K3:N3"/>
    <mergeCell ref="N25:N26"/>
    <mergeCell ref="M25:M26"/>
    <mergeCell ref="L25:L26"/>
    <mergeCell ref="B23:B26"/>
    <mergeCell ref="C23:C26"/>
    <mergeCell ref="D23:D26"/>
    <mergeCell ref="E25:E26"/>
    <mergeCell ref="G25:G26"/>
    <mergeCell ref="H25:H26"/>
    <mergeCell ref="I25:I26"/>
    <mergeCell ref="J25:J26"/>
    <mergeCell ref="K25:K26"/>
    <mergeCell ref="F25:F26"/>
    <mergeCell ref="N30:N32"/>
    <mergeCell ref="M30:M32"/>
    <mergeCell ref="L30:L32"/>
    <mergeCell ref="D27:D32"/>
    <mergeCell ref="C27:C32"/>
    <mergeCell ref="N28:N29"/>
    <mergeCell ref="M28:M29"/>
    <mergeCell ref="L28:L29"/>
    <mergeCell ref="E28:E29"/>
    <mergeCell ref="K28:K29"/>
    <mergeCell ref="E30:E32"/>
    <mergeCell ref="F30:F32"/>
    <mergeCell ref="I30:I32"/>
    <mergeCell ref="D19:D22"/>
    <mergeCell ref="F21:F22"/>
    <mergeCell ref="B27:B32"/>
    <mergeCell ref="G30:G32"/>
    <mergeCell ref="H30:H32"/>
    <mergeCell ref="J30:J32"/>
    <mergeCell ref="K30:K32"/>
    <mergeCell ref="J28:J29"/>
    <mergeCell ref="I28:I29"/>
    <mergeCell ref="H28:H29"/>
    <mergeCell ref="G28:G29"/>
    <mergeCell ref="F28:F29"/>
    <mergeCell ref="G21:G22"/>
    <mergeCell ref="H21:H22"/>
    <mergeCell ref="C19:C22"/>
    <mergeCell ref="B19:B22"/>
    <mergeCell ref="N35:N36"/>
    <mergeCell ref="M35:M36"/>
    <mergeCell ref="L35:L36"/>
    <mergeCell ref="E35:E36"/>
    <mergeCell ref="F35:F36"/>
    <mergeCell ref="G35:G36"/>
    <mergeCell ref="D43:D45"/>
    <mergeCell ref="C43:C45"/>
    <mergeCell ref="B43:B45"/>
    <mergeCell ref="D33:D36"/>
    <mergeCell ref="C33:C36"/>
    <mergeCell ref="B33:B36"/>
    <mergeCell ref="H35:H36"/>
    <mergeCell ref="I35:I36"/>
    <mergeCell ref="J35:J36"/>
    <mergeCell ref="K35:K36"/>
    <mergeCell ref="B46:B48"/>
    <mergeCell ref="C46:C48"/>
    <mergeCell ref="D46:D48"/>
    <mergeCell ref="B37:B39"/>
    <mergeCell ref="C37:C39"/>
    <mergeCell ref="D37:D39"/>
    <mergeCell ref="D40:D42"/>
    <mergeCell ref="C40:C42"/>
    <mergeCell ref="B40:B42"/>
    <mergeCell ref="D49:D51"/>
    <mergeCell ref="C49:C51"/>
    <mergeCell ref="B49:B51"/>
    <mergeCell ref="D55:D57"/>
    <mergeCell ref="C55:C57"/>
    <mergeCell ref="B55:B57"/>
    <mergeCell ref="D52:D54"/>
    <mergeCell ref="C52:C54"/>
    <mergeCell ref="B52:B54"/>
    <mergeCell ref="B61:B63"/>
    <mergeCell ref="C61:C63"/>
    <mergeCell ref="D61:D63"/>
    <mergeCell ref="D58:D60"/>
    <mergeCell ref="C58:C60"/>
    <mergeCell ref="B58:B60"/>
    <mergeCell ref="B67:B69"/>
    <mergeCell ref="C67:C69"/>
    <mergeCell ref="D67:D69"/>
    <mergeCell ref="D64:D66"/>
    <mergeCell ref="C64:C66"/>
    <mergeCell ref="B64:B66"/>
    <mergeCell ref="B88:B90"/>
    <mergeCell ref="C88:C90"/>
    <mergeCell ref="D88:D90"/>
    <mergeCell ref="B100:B102"/>
    <mergeCell ref="C100:C102"/>
    <mergeCell ref="D100:D102"/>
    <mergeCell ref="D70:D72"/>
    <mergeCell ref="C70:C72"/>
    <mergeCell ref="B70:B72"/>
    <mergeCell ref="D85:D87"/>
    <mergeCell ref="C85:C87"/>
    <mergeCell ref="B85:B87"/>
    <mergeCell ref="B82:B84"/>
    <mergeCell ref="C82:C84"/>
    <mergeCell ref="D82:D84"/>
    <mergeCell ref="D79:D81"/>
    <mergeCell ref="C79:C81"/>
    <mergeCell ref="B79:B81"/>
    <mergeCell ref="D76:D78"/>
    <mergeCell ref="C76:C78"/>
    <mergeCell ref="B76:B78"/>
    <mergeCell ref="B73:B75"/>
    <mergeCell ref="C73:C75"/>
    <mergeCell ref="D73:D75"/>
    <mergeCell ref="B97:B99"/>
    <mergeCell ref="C97:C99"/>
    <mergeCell ref="D97:D99"/>
    <mergeCell ref="D94:D96"/>
    <mergeCell ref="C94:C96"/>
    <mergeCell ref="B94:B96"/>
    <mergeCell ref="D91:D93"/>
    <mergeCell ref="C91:C93"/>
    <mergeCell ref="B91:B93"/>
    <mergeCell ref="D127:D129"/>
    <mergeCell ref="C127:C129"/>
    <mergeCell ref="B127:B129"/>
    <mergeCell ref="B124:B126"/>
    <mergeCell ref="C124:C126"/>
    <mergeCell ref="D124:D126"/>
    <mergeCell ref="D121:D123"/>
    <mergeCell ref="C121:C123"/>
    <mergeCell ref="B121:B123"/>
    <mergeCell ref="B118:B120"/>
    <mergeCell ref="C118:C120"/>
    <mergeCell ref="D118:D120"/>
    <mergeCell ref="D115:D117"/>
    <mergeCell ref="B106:B108"/>
    <mergeCell ref="C106:C108"/>
    <mergeCell ref="D106:D108"/>
    <mergeCell ref="D103:D105"/>
    <mergeCell ref="C103:C105"/>
    <mergeCell ref="B103:B105"/>
    <mergeCell ref="B112:B114"/>
    <mergeCell ref="C112:C114"/>
    <mergeCell ref="C115:C117"/>
    <mergeCell ref="B115:B117"/>
    <mergeCell ref="D112:D114"/>
    <mergeCell ref="D109:D111"/>
    <mergeCell ref="C109:C111"/>
    <mergeCell ref="B109:B111"/>
    <mergeCell ref="B133:B135"/>
    <mergeCell ref="C133:C135"/>
    <mergeCell ref="D133:D135"/>
    <mergeCell ref="D130:D132"/>
    <mergeCell ref="C130:C132"/>
    <mergeCell ref="D151:D153"/>
    <mergeCell ref="C151:C153"/>
    <mergeCell ref="B151:B153"/>
    <mergeCell ref="B130:B132"/>
    <mergeCell ref="B148:B150"/>
    <mergeCell ref="C148:C150"/>
    <mergeCell ref="D148:D150"/>
    <mergeCell ref="D145:D147"/>
    <mergeCell ref="C145:C147"/>
    <mergeCell ref="B145:B147"/>
    <mergeCell ref="D142:D144"/>
    <mergeCell ref="C142:C144"/>
    <mergeCell ref="B142:B144"/>
    <mergeCell ref="B139:B141"/>
    <mergeCell ref="C139:C141"/>
    <mergeCell ref="D139:D141"/>
    <mergeCell ref="D136:D138"/>
    <mergeCell ref="C136:C138"/>
    <mergeCell ref="B136:B138"/>
    <mergeCell ref="D160:D162"/>
    <mergeCell ref="C160:C162"/>
    <mergeCell ref="B160:B162"/>
    <mergeCell ref="B157:B159"/>
    <mergeCell ref="C157:C159"/>
    <mergeCell ref="D157:D159"/>
    <mergeCell ref="B154:B156"/>
    <mergeCell ref="C154:C156"/>
    <mergeCell ref="D154:D156"/>
  </mergeCells>
  <pageMargins left="0.7" right="0.7" top="0.75" bottom="0.75" header="0.3" footer="0.3"/>
  <pageSetup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7"/>
  <sheetViews>
    <sheetView topLeftCell="A85" zoomScale="85" zoomScaleNormal="85" workbookViewId="0">
      <selection activeCell="K105" sqref="K105"/>
    </sheetView>
  </sheetViews>
  <sheetFormatPr defaultRowHeight="15" x14ac:dyDescent="0.25"/>
  <cols>
    <col min="2" max="2" width="46.5703125" customWidth="1"/>
    <col min="3" max="3" width="9.140625" customWidth="1"/>
    <col min="4" max="5" width="7.28515625" customWidth="1"/>
    <col min="6" max="7" width="9.140625" customWidth="1"/>
    <col min="8" max="10" width="11.7109375" customWidth="1"/>
    <col min="11" max="11" width="10.85546875" customWidth="1"/>
    <col min="12" max="12" width="10.7109375" customWidth="1"/>
    <col min="13" max="13" width="10.28515625" bestFit="1" customWidth="1"/>
  </cols>
  <sheetData>
    <row r="1" spans="1:13" ht="15.75" hidden="1" x14ac:dyDescent="0.25">
      <c r="J1" s="116" t="s">
        <v>52</v>
      </c>
      <c r="K1" s="116"/>
      <c r="L1" s="116"/>
      <c r="M1" s="116"/>
    </row>
    <row r="2" spans="1:13" ht="15.75" hidden="1" x14ac:dyDescent="0.25">
      <c r="J2" s="117" t="s">
        <v>0</v>
      </c>
      <c r="K2" s="117"/>
      <c r="L2" s="117"/>
      <c r="M2" s="117"/>
    </row>
    <row r="3" spans="1:13" s="4" customFormat="1" ht="15.75" hidden="1" x14ac:dyDescent="0.25">
      <c r="J3" s="117" t="s">
        <v>16</v>
      </c>
      <c r="K3" s="117"/>
      <c r="L3" s="117"/>
      <c r="M3" s="117"/>
    </row>
    <row r="4" spans="1:13" hidden="1" x14ac:dyDescent="0.25"/>
    <row r="5" spans="1:13" ht="15.75" x14ac:dyDescent="0.25">
      <c r="A5" s="12"/>
      <c r="B5" s="6"/>
      <c r="C5" s="6"/>
      <c r="D5" s="6"/>
      <c r="E5" s="6"/>
      <c r="F5" s="6"/>
      <c r="G5" s="6"/>
      <c r="H5" s="6"/>
      <c r="I5" s="6"/>
      <c r="J5" s="6"/>
      <c r="K5" s="6"/>
      <c r="L5" s="6"/>
      <c r="M5" s="6"/>
    </row>
    <row r="6" spans="1:13" ht="15.75" x14ac:dyDescent="0.25">
      <c r="A6" s="125" t="s">
        <v>22</v>
      </c>
      <c r="B6" s="125"/>
      <c r="C6" s="125"/>
      <c r="D6" s="125"/>
      <c r="E6" s="125"/>
      <c r="F6" s="125"/>
      <c r="G6" s="125"/>
      <c r="H6" s="125"/>
      <c r="I6" s="125"/>
      <c r="J6" s="125"/>
      <c r="K6" s="126"/>
      <c r="L6" s="126"/>
      <c r="M6" s="126"/>
    </row>
    <row r="7" spans="1:13" s="4" customFormat="1" ht="15.75" x14ac:dyDescent="0.25">
      <c r="A7" s="11"/>
      <c r="B7" s="11"/>
      <c r="C7" s="11"/>
      <c r="D7" s="11"/>
      <c r="E7" s="11"/>
      <c r="F7" s="11"/>
      <c r="G7" s="11"/>
      <c r="H7" s="11"/>
      <c r="I7" s="11"/>
      <c r="J7" s="11"/>
      <c r="K7" s="10"/>
      <c r="L7" s="10"/>
      <c r="M7" s="10"/>
    </row>
    <row r="8" spans="1:13" x14ac:dyDescent="0.25">
      <c r="A8" s="27" t="s">
        <v>23</v>
      </c>
      <c r="B8" s="47"/>
      <c r="C8" s="47"/>
      <c r="D8" s="47"/>
      <c r="E8" s="47"/>
      <c r="F8" s="47"/>
      <c r="G8" s="47"/>
      <c r="H8" s="47"/>
      <c r="I8" s="47"/>
      <c r="J8" s="47"/>
      <c r="K8" s="47"/>
      <c r="L8" s="47"/>
      <c r="M8" s="47"/>
    </row>
    <row r="9" spans="1:13" x14ac:dyDescent="0.25">
      <c r="A9" s="90" t="s">
        <v>1</v>
      </c>
      <c r="B9" s="80" t="s">
        <v>19</v>
      </c>
      <c r="C9" s="91" t="s">
        <v>2</v>
      </c>
      <c r="D9" s="91" t="s">
        <v>1411</v>
      </c>
      <c r="E9" s="91" t="s">
        <v>1412</v>
      </c>
      <c r="F9" s="91" t="s">
        <v>1413</v>
      </c>
      <c r="G9" s="91" t="s">
        <v>1414</v>
      </c>
      <c r="H9" s="91" t="s">
        <v>1415</v>
      </c>
      <c r="I9" s="91" t="s">
        <v>1416</v>
      </c>
      <c r="J9" s="91" t="s">
        <v>1417</v>
      </c>
      <c r="K9" s="91" t="s">
        <v>1418</v>
      </c>
      <c r="L9" s="91" t="s">
        <v>1419</v>
      </c>
      <c r="M9" s="92" t="s">
        <v>1420</v>
      </c>
    </row>
    <row r="10" spans="1:13" ht="63" customHeight="1" x14ac:dyDescent="0.25">
      <c r="A10" s="84" t="s">
        <v>865</v>
      </c>
      <c r="B10" s="36" t="s">
        <v>554</v>
      </c>
      <c r="C10" s="78"/>
      <c r="D10" s="78"/>
      <c r="E10" s="78"/>
      <c r="F10" s="78"/>
      <c r="G10" s="78"/>
      <c r="H10" s="78">
        <v>1</v>
      </c>
      <c r="I10" s="78"/>
      <c r="J10" s="78">
        <v>4</v>
      </c>
      <c r="K10" s="78"/>
      <c r="L10" s="78"/>
      <c r="M10" s="93"/>
    </row>
    <row r="11" spans="1:13" ht="26.25" customHeight="1" x14ac:dyDescent="0.25">
      <c r="A11" s="85" t="s">
        <v>866</v>
      </c>
      <c r="B11" s="37" t="s">
        <v>692</v>
      </c>
      <c r="C11" s="78"/>
      <c r="D11" s="79"/>
      <c r="E11" s="79"/>
      <c r="F11" s="79"/>
      <c r="G11" s="79"/>
      <c r="H11" s="79">
        <v>55</v>
      </c>
      <c r="I11" s="79">
        <v>16</v>
      </c>
      <c r="J11" s="79">
        <v>20</v>
      </c>
      <c r="K11" s="78"/>
      <c r="L11" s="78"/>
      <c r="M11" s="93"/>
    </row>
    <row r="12" spans="1:13" ht="26.25" customHeight="1" x14ac:dyDescent="0.25">
      <c r="A12" s="85" t="s">
        <v>867</v>
      </c>
      <c r="B12" s="37" t="s">
        <v>691</v>
      </c>
      <c r="C12" s="78"/>
      <c r="D12" s="79"/>
      <c r="E12" s="79"/>
      <c r="F12" s="79"/>
      <c r="G12" s="79"/>
      <c r="H12" s="79">
        <v>15273</v>
      </c>
      <c r="I12" s="79">
        <f>7641-177-406-635</f>
        <v>6423</v>
      </c>
      <c r="J12" s="79">
        <f>7313+177+406+635</f>
        <v>8531</v>
      </c>
      <c r="K12" s="78"/>
      <c r="L12" s="78"/>
      <c r="M12" s="93"/>
    </row>
    <row r="13" spans="1:13" ht="28.5" customHeight="1" x14ac:dyDescent="0.25">
      <c r="A13" s="85" t="s">
        <v>868</v>
      </c>
      <c r="B13" s="37" t="s">
        <v>690</v>
      </c>
      <c r="C13" s="78"/>
      <c r="D13" s="79"/>
      <c r="E13" s="79"/>
      <c r="F13" s="79"/>
      <c r="G13" s="79"/>
      <c r="H13" s="79">
        <v>37</v>
      </c>
      <c r="I13" s="99">
        <v>10</v>
      </c>
      <c r="J13" s="99">
        <v>20</v>
      </c>
      <c r="K13" s="78"/>
      <c r="L13" s="78"/>
      <c r="M13" s="93"/>
    </row>
    <row r="14" spans="1:13" ht="41.25" customHeight="1" x14ac:dyDescent="0.25">
      <c r="A14" s="84" t="s">
        <v>555</v>
      </c>
      <c r="B14" s="36" t="s">
        <v>556</v>
      </c>
      <c r="C14" s="78"/>
      <c r="D14" s="79"/>
      <c r="E14" s="79"/>
      <c r="F14" s="79"/>
      <c r="G14" s="79"/>
      <c r="H14" s="79"/>
      <c r="I14" s="79">
        <f>66297-2000+12400-3400+9000-1200+17550-2000+2200</f>
        <v>98847</v>
      </c>
      <c r="J14" s="79">
        <v>460</v>
      </c>
      <c r="K14" s="78"/>
      <c r="L14" s="78"/>
      <c r="M14" s="93"/>
    </row>
    <row r="15" spans="1:13" ht="15.75" customHeight="1" x14ac:dyDescent="0.25">
      <c r="A15" s="84" t="s">
        <v>557</v>
      </c>
      <c r="B15" s="36" t="s">
        <v>558</v>
      </c>
      <c r="C15" s="78"/>
      <c r="D15" s="79"/>
      <c r="E15" s="79"/>
      <c r="F15" s="79"/>
      <c r="G15" s="79"/>
      <c r="H15" s="79">
        <f>3.307-2.903+2.9-0.404+0.4</f>
        <v>3.3</v>
      </c>
      <c r="I15" s="79">
        <f>3.0463-0.1965+0.2-0.614+0.61-0.3+0.47-1.2858+1.29</f>
        <v>3.2200000000000006</v>
      </c>
      <c r="J15" s="79">
        <f>16.207-1.159+1.16-0.295+0.29-0.688+0.67-9.635-0.49</f>
        <v>6.0599999999999987</v>
      </c>
      <c r="K15" s="78">
        <f>3.189-2.089+2.08+9.68</f>
        <v>12.86</v>
      </c>
      <c r="L15" s="78"/>
      <c r="M15" s="93"/>
    </row>
    <row r="16" spans="1:13" ht="24.75" customHeight="1" x14ac:dyDescent="0.25">
      <c r="A16" s="86" t="s">
        <v>648</v>
      </c>
      <c r="B16" s="39" t="s">
        <v>649</v>
      </c>
      <c r="C16" s="78"/>
      <c r="D16" s="79"/>
      <c r="E16" s="79"/>
      <c r="F16" s="79"/>
      <c r="G16" s="79"/>
      <c r="H16" s="79"/>
      <c r="I16" s="81"/>
      <c r="J16" s="79"/>
      <c r="K16" s="78"/>
      <c r="L16" s="78"/>
      <c r="M16" s="93"/>
    </row>
    <row r="17" spans="1:13" ht="21" customHeight="1" x14ac:dyDescent="0.25">
      <c r="A17" s="87" t="s">
        <v>676</v>
      </c>
      <c r="B17" s="39" t="s">
        <v>677</v>
      </c>
      <c r="C17" s="78"/>
      <c r="D17" s="79">
        <v>23</v>
      </c>
      <c r="E17" s="79"/>
      <c r="F17" s="79"/>
      <c r="G17" s="79"/>
      <c r="H17" s="79">
        <v>0.56259999999999999</v>
      </c>
      <c r="I17" s="79"/>
      <c r="J17" s="79">
        <v>0.41299999999999998</v>
      </c>
      <c r="K17" s="78"/>
      <c r="L17" s="78"/>
      <c r="M17" s="93"/>
    </row>
    <row r="18" spans="1:13" ht="25.5" customHeight="1" x14ac:dyDescent="0.25">
      <c r="A18" s="86" t="s">
        <v>652</v>
      </c>
      <c r="B18" s="39" t="s">
        <v>653</v>
      </c>
      <c r="C18" s="78"/>
      <c r="D18" s="79"/>
      <c r="E18" s="79"/>
      <c r="F18" s="79"/>
      <c r="G18" s="79"/>
      <c r="H18" s="79"/>
      <c r="I18" s="79"/>
      <c r="J18" s="79"/>
      <c r="K18" s="78"/>
      <c r="L18" s="78"/>
      <c r="M18" s="93"/>
    </row>
    <row r="19" spans="1:13" ht="28.5" customHeight="1" x14ac:dyDescent="0.25">
      <c r="A19" s="87" t="s">
        <v>656</v>
      </c>
      <c r="B19" s="39" t="s">
        <v>657</v>
      </c>
      <c r="C19" s="78"/>
      <c r="D19" s="78"/>
      <c r="E19" s="78"/>
      <c r="F19" s="78"/>
      <c r="G19" s="78"/>
      <c r="H19" s="78"/>
      <c r="I19" s="82"/>
      <c r="J19" s="78"/>
      <c r="K19" s="78"/>
      <c r="L19" s="78"/>
      <c r="M19" s="93"/>
    </row>
    <row r="20" spans="1:13" s="4" customFormat="1" ht="26.25" customHeight="1" x14ac:dyDescent="0.25">
      <c r="A20" s="85" t="s">
        <v>640</v>
      </c>
      <c r="B20" s="39" t="s">
        <v>641</v>
      </c>
      <c r="C20" s="78"/>
      <c r="D20" s="78"/>
      <c r="E20" s="78"/>
      <c r="F20" s="78"/>
      <c r="G20" s="78"/>
      <c r="H20" s="78"/>
      <c r="I20" s="78"/>
      <c r="J20" s="78"/>
      <c r="K20" s="78"/>
      <c r="L20" s="78"/>
      <c r="M20" s="93"/>
    </row>
    <row r="21" spans="1:13" s="4" customFormat="1" ht="29.25" customHeight="1" x14ac:dyDescent="0.25">
      <c r="A21" s="86" t="s">
        <v>654</v>
      </c>
      <c r="B21" s="39" t="s">
        <v>655</v>
      </c>
      <c r="C21" s="78"/>
      <c r="D21" s="78"/>
      <c r="E21" s="78"/>
      <c r="F21" s="78"/>
      <c r="G21" s="78"/>
      <c r="H21" s="78">
        <v>1623</v>
      </c>
      <c r="I21" s="78">
        <f>2788-200+205-200+205-225+254-550+579-1+185</f>
        <v>3040</v>
      </c>
      <c r="J21" s="78">
        <f>7981+1500-20+56-185+241-50+213-104+142-473+569-290+305</f>
        <v>9885</v>
      </c>
      <c r="K21" s="78">
        <v>251</v>
      </c>
      <c r="L21" s="78"/>
      <c r="M21" s="93"/>
    </row>
    <row r="22" spans="1:13" s="4" customFormat="1" ht="26.25" customHeight="1" x14ac:dyDescent="0.25">
      <c r="A22" s="84" t="s">
        <v>559</v>
      </c>
      <c r="B22" s="36" t="s">
        <v>560</v>
      </c>
      <c r="C22" s="78"/>
      <c r="D22" s="78"/>
      <c r="E22" s="78"/>
      <c r="F22" s="78"/>
      <c r="G22" s="78"/>
      <c r="H22" s="78"/>
      <c r="I22" s="78">
        <f>26466-837+726-2188+1476-828+804-11000+10675-1944+2444-343+542-337+408-1800+2563-680+752-2500+2654</f>
        <v>27053</v>
      </c>
      <c r="J22" s="78">
        <f>331573-2412-34600+33163-7217+6282-33163+31454-9400+6046-8891+8591-20349+18532-44851+40300-4437+4301-4137+4110-8209+8700-11385+10271-2037+3034-2750+3138-1240+1363</f>
        <v>315780</v>
      </c>
      <c r="K22" s="78"/>
      <c r="L22" s="78"/>
      <c r="M22" s="93"/>
    </row>
    <row r="23" spans="1:13" s="4" customFormat="1" ht="18.75" customHeight="1" x14ac:dyDescent="0.25">
      <c r="A23" s="84" t="s">
        <v>561</v>
      </c>
      <c r="B23" s="36" t="s">
        <v>562</v>
      </c>
      <c r="C23" s="78"/>
      <c r="D23" s="78"/>
      <c r="E23" s="78"/>
      <c r="F23" s="78"/>
      <c r="G23" s="78">
        <v>12872</v>
      </c>
      <c r="H23" s="78">
        <f>197114.63-10246.01+10254.94-58156+58078.93-12000</f>
        <v>185046.49</v>
      </c>
      <c r="I23" s="78">
        <f>288615-20000+18513+11000-141600+44389.82-10015+9810-11000+12000-18513+18000-117000</f>
        <v>84199.82</v>
      </c>
      <c r="J23" s="101">
        <f>1035734.6-15200+58867.3-35000+34983.5-509851.88+509583.14-3534+3703.51-68477+70822+10000-34500+13000+117000</f>
        <v>1187131.17</v>
      </c>
      <c r="K23" s="78">
        <f>312925-48650+88169-264275</f>
        <v>88169</v>
      </c>
      <c r="L23" s="78"/>
      <c r="M23" s="93">
        <f>69121-29000+69385-702+634-20000+29305+264275</f>
        <v>383018</v>
      </c>
    </row>
    <row r="24" spans="1:13" s="4" customFormat="1" ht="30.75" customHeight="1" x14ac:dyDescent="0.25">
      <c r="A24" s="84" t="s">
        <v>563</v>
      </c>
      <c r="B24" s="36" t="s">
        <v>564</v>
      </c>
      <c r="C24" s="78"/>
      <c r="D24" s="78"/>
      <c r="E24" s="78">
        <v>3073</v>
      </c>
      <c r="F24" s="78"/>
      <c r="G24" s="78"/>
      <c r="H24" s="78"/>
      <c r="I24" s="78">
        <f>11594.02-794.02+2685.47-5100</f>
        <v>8385.4699999999993</v>
      </c>
      <c r="J24" s="78">
        <f>7467-147+431.89-2000+5100-5320</f>
        <v>5531.8899999999994</v>
      </c>
      <c r="K24" s="78">
        <f>948.09+2000</f>
        <v>2948.09</v>
      </c>
      <c r="L24" s="78"/>
      <c r="M24" s="78">
        <f>510-494+564.71</f>
        <v>580.71</v>
      </c>
    </row>
    <row r="25" spans="1:13" s="4" customFormat="1" ht="30.75" customHeight="1" x14ac:dyDescent="0.25">
      <c r="A25" s="84" t="s">
        <v>565</v>
      </c>
      <c r="B25" s="36" t="s">
        <v>566</v>
      </c>
      <c r="C25" s="78"/>
      <c r="D25" s="78"/>
      <c r="E25" s="78"/>
      <c r="F25" s="78"/>
      <c r="G25" s="78"/>
      <c r="H25" s="78"/>
      <c r="I25" s="78"/>
      <c r="J25" s="78"/>
      <c r="K25" s="78"/>
      <c r="L25" s="78"/>
      <c r="M25" s="93"/>
    </row>
    <row r="26" spans="1:13" s="4" customFormat="1" ht="30" customHeight="1" x14ac:dyDescent="0.25">
      <c r="A26" s="85" t="s">
        <v>670</v>
      </c>
      <c r="B26" s="37" t="s">
        <v>671</v>
      </c>
      <c r="C26" s="78"/>
      <c r="D26" s="78"/>
      <c r="E26" s="78"/>
      <c r="F26" s="78"/>
      <c r="G26" s="78"/>
      <c r="H26" s="78"/>
      <c r="I26" s="78">
        <v>100</v>
      </c>
      <c r="J26" s="78">
        <v>20</v>
      </c>
      <c r="K26" s="78"/>
      <c r="L26" s="78"/>
      <c r="M26" s="93"/>
    </row>
    <row r="27" spans="1:13" s="4" customFormat="1" ht="42" customHeight="1" x14ac:dyDescent="0.25">
      <c r="A27" s="84" t="s">
        <v>567</v>
      </c>
      <c r="B27" s="36" t="s">
        <v>568</v>
      </c>
      <c r="C27" s="78"/>
      <c r="D27" s="78"/>
      <c r="E27" s="78"/>
      <c r="F27" s="78"/>
      <c r="G27" s="78">
        <v>131</v>
      </c>
      <c r="H27" s="78"/>
      <c r="I27" s="78">
        <f>2501-1231</f>
        <v>1270</v>
      </c>
      <c r="J27" s="78">
        <f>1075+1231</f>
        <v>2306</v>
      </c>
      <c r="K27" s="78">
        <v>323</v>
      </c>
      <c r="L27" s="78"/>
      <c r="M27" s="93"/>
    </row>
    <row r="28" spans="1:13" s="4" customFormat="1" ht="39" customHeight="1" x14ac:dyDescent="0.25">
      <c r="A28" s="84" t="s">
        <v>569</v>
      </c>
      <c r="B28" s="36" t="s">
        <v>570</v>
      </c>
      <c r="C28" s="78"/>
      <c r="D28" s="78"/>
      <c r="E28" s="78"/>
      <c r="F28" s="78"/>
      <c r="G28" s="78"/>
      <c r="H28" s="78"/>
      <c r="I28" s="78">
        <v>2285</v>
      </c>
      <c r="J28" s="78"/>
      <c r="K28" s="78">
        <v>7852</v>
      </c>
      <c r="L28" s="78"/>
      <c r="M28" s="93"/>
    </row>
    <row r="29" spans="1:13" s="4" customFormat="1" ht="28.5" customHeight="1" x14ac:dyDescent="0.25">
      <c r="A29" s="84" t="s">
        <v>571</v>
      </c>
      <c r="B29" s="36" t="s">
        <v>572</v>
      </c>
      <c r="C29" s="78"/>
      <c r="D29" s="78"/>
      <c r="E29" s="78"/>
      <c r="F29" s="78"/>
      <c r="G29" s="78">
        <v>478</v>
      </c>
      <c r="H29" s="78"/>
      <c r="I29" s="78">
        <f>4505-1812</f>
        <v>2693</v>
      </c>
      <c r="J29" s="78">
        <f>2015+1812</f>
        <v>3827</v>
      </c>
      <c r="K29" s="78">
        <v>416</v>
      </c>
      <c r="L29" s="78"/>
      <c r="M29" s="93"/>
    </row>
    <row r="30" spans="1:13" s="4" customFormat="1" ht="40.5" customHeight="1" x14ac:dyDescent="0.25">
      <c r="A30" s="84" t="s">
        <v>573</v>
      </c>
      <c r="B30" s="36" t="s">
        <v>574</v>
      </c>
      <c r="C30" s="78"/>
      <c r="D30" s="78"/>
      <c r="E30" s="78"/>
      <c r="F30" s="78"/>
      <c r="G30" s="78"/>
      <c r="H30" s="78"/>
      <c r="I30" s="78">
        <f>308714-308292</f>
        <v>422</v>
      </c>
      <c r="J30" s="78">
        <f>1159-506+285-425+168+308292</f>
        <v>308973</v>
      </c>
      <c r="K30" s="78">
        <v>3600</v>
      </c>
      <c r="L30" s="78"/>
      <c r="M30" s="93"/>
    </row>
    <row r="31" spans="1:13" s="4" customFormat="1" ht="26.25" customHeight="1" x14ac:dyDescent="0.25">
      <c r="A31" s="84" t="s">
        <v>575</v>
      </c>
      <c r="B31" s="36" t="s">
        <v>576</v>
      </c>
      <c r="C31" s="78"/>
      <c r="D31" s="78"/>
      <c r="E31" s="78"/>
      <c r="F31" s="78"/>
      <c r="G31" s="78"/>
      <c r="H31" s="78"/>
      <c r="I31" s="78"/>
      <c r="J31" s="78"/>
      <c r="K31" s="78"/>
      <c r="L31" s="78"/>
      <c r="M31" s="93"/>
    </row>
    <row r="32" spans="1:13" s="4" customFormat="1" ht="13.5" customHeight="1" x14ac:dyDescent="0.25">
      <c r="A32" s="84" t="s">
        <v>869</v>
      </c>
      <c r="B32" s="36" t="s">
        <v>870</v>
      </c>
      <c r="C32" s="78"/>
      <c r="D32" s="78"/>
      <c r="E32" s="78"/>
      <c r="F32" s="78"/>
      <c r="G32" s="78"/>
      <c r="H32" s="78"/>
      <c r="I32" s="78">
        <v>5</v>
      </c>
      <c r="J32" s="78"/>
      <c r="K32" s="78"/>
      <c r="L32" s="78"/>
      <c r="M32" s="93"/>
    </row>
    <row r="33" spans="1:13" s="4" customFormat="1" ht="45" customHeight="1" x14ac:dyDescent="0.25">
      <c r="A33" s="84" t="s">
        <v>577</v>
      </c>
      <c r="B33" s="36" t="s">
        <v>578</v>
      </c>
      <c r="C33" s="78"/>
      <c r="D33" s="78"/>
      <c r="E33" s="78"/>
      <c r="F33" s="78"/>
      <c r="G33" s="78"/>
      <c r="H33" s="78">
        <v>2</v>
      </c>
      <c r="I33" s="78">
        <v>2</v>
      </c>
      <c r="J33" s="78">
        <v>3</v>
      </c>
      <c r="K33" s="78"/>
      <c r="L33" s="78"/>
      <c r="M33" s="93"/>
    </row>
    <row r="34" spans="1:13" s="4" customFormat="1" ht="30.75" customHeight="1" x14ac:dyDescent="0.25">
      <c r="A34" s="84" t="s">
        <v>579</v>
      </c>
      <c r="B34" s="36" t="s">
        <v>580</v>
      </c>
      <c r="C34" s="78"/>
      <c r="D34" s="78"/>
      <c r="E34" s="78"/>
      <c r="F34" s="78"/>
      <c r="G34" s="98"/>
      <c r="H34" s="78">
        <v>69</v>
      </c>
      <c r="I34" s="78"/>
      <c r="J34" s="78"/>
      <c r="K34" s="78"/>
      <c r="L34" s="78"/>
      <c r="M34" s="93"/>
    </row>
    <row r="35" spans="1:13" s="4" customFormat="1" ht="18.75" customHeight="1" x14ac:dyDescent="0.25">
      <c r="A35" s="87" t="s">
        <v>680</v>
      </c>
      <c r="B35" s="39" t="s">
        <v>681</v>
      </c>
      <c r="C35" s="78"/>
      <c r="D35" s="78"/>
      <c r="E35" s="78"/>
      <c r="F35" s="78"/>
      <c r="G35" s="78"/>
      <c r="H35" s="78"/>
      <c r="I35" s="78"/>
      <c r="J35" s="78">
        <v>3</v>
      </c>
      <c r="K35" s="78"/>
      <c r="L35" s="78"/>
      <c r="M35" s="93"/>
    </row>
    <row r="36" spans="1:13" s="4" customFormat="1" ht="30" customHeight="1" x14ac:dyDescent="0.25">
      <c r="A36" s="87" t="s">
        <v>678</v>
      </c>
      <c r="B36" s="39" t="s">
        <v>679</v>
      </c>
      <c r="C36" s="78"/>
      <c r="D36" s="78"/>
      <c r="E36" s="78"/>
      <c r="F36" s="78"/>
      <c r="G36" s="78"/>
      <c r="H36" s="78">
        <v>4</v>
      </c>
      <c r="I36" s="78"/>
      <c r="J36" s="78">
        <v>1</v>
      </c>
      <c r="K36" s="78"/>
      <c r="L36" s="78"/>
      <c r="M36" s="93"/>
    </row>
    <row r="37" spans="1:13" s="4" customFormat="1" ht="18.75" customHeight="1" x14ac:dyDescent="0.25">
      <c r="A37" s="85" t="s">
        <v>672</v>
      </c>
      <c r="B37" s="37" t="s">
        <v>673</v>
      </c>
      <c r="C37" s="78"/>
      <c r="D37" s="78"/>
      <c r="E37" s="78"/>
      <c r="F37" s="78"/>
      <c r="G37" s="78"/>
      <c r="H37" s="78">
        <v>1</v>
      </c>
      <c r="I37" s="78"/>
      <c r="J37" s="78"/>
      <c r="K37" s="78"/>
      <c r="L37" s="78"/>
      <c r="M37" s="93"/>
    </row>
    <row r="38" spans="1:13" s="4" customFormat="1" ht="29.25" customHeight="1" x14ac:dyDescent="0.25">
      <c r="A38" s="85" t="s">
        <v>674</v>
      </c>
      <c r="B38" s="37" t="s">
        <v>675</v>
      </c>
      <c r="C38" s="78"/>
      <c r="D38" s="78"/>
      <c r="E38" s="78"/>
      <c r="F38" s="78"/>
      <c r="G38" s="78"/>
      <c r="H38" s="78">
        <v>1</v>
      </c>
      <c r="I38" s="78"/>
      <c r="J38" s="78"/>
      <c r="K38" s="78"/>
      <c r="L38" s="78"/>
      <c r="M38" s="93"/>
    </row>
    <row r="39" spans="1:13" s="4" customFormat="1" ht="18" customHeight="1" x14ac:dyDescent="0.25">
      <c r="A39" s="84" t="s">
        <v>581</v>
      </c>
      <c r="B39" s="36" t="s">
        <v>582</v>
      </c>
      <c r="C39" s="78"/>
      <c r="D39" s="78"/>
      <c r="E39" s="78"/>
      <c r="F39" s="78"/>
      <c r="G39" s="78">
        <v>2</v>
      </c>
      <c r="H39" s="78">
        <v>5</v>
      </c>
      <c r="I39" s="78">
        <v>4</v>
      </c>
      <c r="J39" s="78">
        <v>4</v>
      </c>
      <c r="K39" s="78"/>
      <c r="L39" s="78"/>
      <c r="M39" s="93"/>
    </row>
    <row r="40" spans="1:13" s="4" customFormat="1" ht="12.75" customHeight="1" x14ac:dyDescent="0.25">
      <c r="A40" s="84" t="s">
        <v>871</v>
      </c>
      <c r="B40" s="36" t="s">
        <v>872</v>
      </c>
      <c r="C40" s="78"/>
      <c r="D40" s="78"/>
      <c r="E40" s="78"/>
      <c r="F40" s="78"/>
      <c r="G40" s="78">
        <v>2</v>
      </c>
      <c r="H40" s="78">
        <v>1</v>
      </c>
      <c r="I40" s="78"/>
      <c r="J40" s="78"/>
      <c r="K40" s="78"/>
      <c r="L40" s="78"/>
      <c r="M40" s="93"/>
    </row>
    <row r="41" spans="1:13" s="4" customFormat="1" ht="14.25" customHeight="1" x14ac:dyDescent="0.25">
      <c r="A41" s="85" t="s">
        <v>660</v>
      </c>
      <c r="B41" s="37" t="s">
        <v>661</v>
      </c>
      <c r="C41" s="78"/>
      <c r="D41" s="78"/>
      <c r="E41" s="78"/>
      <c r="F41" s="78"/>
      <c r="G41" s="78"/>
      <c r="H41" s="78"/>
      <c r="I41" s="78">
        <v>0.5</v>
      </c>
      <c r="J41" s="78"/>
      <c r="K41" s="78"/>
      <c r="L41" s="78">
        <v>0.33</v>
      </c>
      <c r="M41" s="93">
        <v>0.02</v>
      </c>
    </row>
    <row r="42" spans="1:13" s="4" customFormat="1" ht="29.25" customHeight="1" x14ac:dyDescent="0.25">
      <c r="A42" s="84" t="s">
        <v>583</v>
      </c>
      <c r="B42" s="36" t="s">
        <v>584</v>
      </c>
      <c r="C42" s="78"/>
      <c r="D42" s="78"/>
      <c r="E42" s="78"/>
      <c r="F42" s="78"/>
      <c r="G42" s="78"/>
      <c r="H42" s="78"/>
      <c r="I42" s="78"/>
      <c r="J42" s="78"/>
      <c r="K42" s="78"/>
      <c r="L42" s="78"/>
      <c r="M42" s="93"/>
    </row>
    <row r="43" spans="1:13" s="4" customFormat="1" ht="18.75" customHeight="1" x14ac:dyDescent="0.25">
      <c r="A43" s="85" t="s">
        <v>585</v>
      </c>
      <c r="B43" s="36" t="s">
        <v>586</v>
      </c>
      <c r="C43" s="78"/>
      <c r="D43" s="78"/>
      <c r="E43" s="78"/>
      <c r="F43" s="78"/>
      <c r="G43" s="78"/>
      <c r="H43" s="78"/>
      <c r="I43" s="78"/>
      <c r="J43" s="78"/>
      <c r="K43" s="78"/>
      <c r="L43" s="78"/>
      <c r="M43" s="93"/>
    </row>
    <row r="44" spans="1:13" s="4" customFormat="1" ht="17.25" customHeight="1" x14ac:dyDescent="0.25">
      <c r="A44" s="84" t="s">
        <v>587</v>
      </c>
      <c r="B44" s="36" t="s">
        <v>588</v>
      </c>
      <c r="C44" s="78"/>
      <c r="D44" s="78"/>
      <c r="E44" s="78"/>
      <c r="F44" s="78"/>
      <c r="G44" s="78"/>
      <c r="H44" s="78"/>
      <c r="I44" s="78"/>
      <c r="J44" s="83"/>
      <c r="K44" s="78"/>
      <c r="L44" s="78"/>
      <c r="M44" s="93"/>
    </row>
    <row r="45" spans="1:13" s="4" customFormat="1" ht="50.25" customHeight="1" x14ac:dyDescent="0.25">
      <c r="A45" s="84" t="s">
        <v>589</v>
      </c>
      <c r="B45" s="36" t="s">
        <v>590</v>
      </c>
      <c r="C45" s="78"/>
      <c r="D45" s="78"/>
      <c r="E45" s="78"/>
      <c r="F45" s="78"/>
      <c r="G45" s="78"/>
      <c r="H45" s="78"/>
      <c r="I45" s="78"/>
      <c r="J45" s="78"/>
      <c r="K45" s="78">
        <v>66</v>
      </c>
      <c r="L45" s="78">
        <v>388</v>
      </c>
      <c r="M45" s="93"/>
    </row>
    <row r="46" spans="1:13" s="4" customFormat="1" ht="15.75" customHeight="1" x14ac:dyDescent="0.25">
      <c r="A46" s="85" t="s">
        <v>686</v>
      </c>
      <c r="B46" s="37" t="s">
        <v>687</v>
      </c>
      <c r="C46" s="78"/>
      <c r="D46" s="78"/>
      <c r="E46" s="78"/>
      <c r="F46" s="78"/>
      <c r="G46" s="78"/>
      <c r="H46" s="78"/>
      <c r="I46" s="78"/>
      <c r="J46" s="78"/>
      <c r="K46" s="78"/>
      <c r="L46" s="78">
        <v>1</v>
      </c>
      <c r="M46" s="93"/>
    </row>
    <row r="47" spans="1:13" s="4" customFormat="1" ht="29.25" customHeight="1" x14ac:dyDescent="0.25">
      <c r="A47" s="84" t="s">
        <v>591</v>
      </c>
      <c r="B47" s="36" t="s">
        <v>592</v>
      </c>
      <c r="C47" s="78"/>
      <c r="D47" s="78"/>
      <c r="E47" s="78"/>
      <c r="F47" s="78"/>
      <c r="G47" s="78"/>
      <c r="H47" s="78"/>
      <c r="I47" s="78">
        <v>5</v>
      </c>
      <c r="J47" s="78">
        <v>6</v>
      </c>
      <c r="K47" s="78"/>
      <c r="L47" s="78"/>
      <c r="M47" s="93"/>
    </row>
    <row r="48" spans="1:13" s="4" customFormat="1" ht="30" customHeight="1" x14ac:dyDescent="0.25">
      <c r="A48" s="84" t="s">
        <v>593</v>
      </c>
      <c r="B48" s="36" t="s">
        <v>594</v>
      </c>
      <c r="C48" s="78"/>
      <c r="D48" s="78"/>
      <c r="E48" s="78"/>
      <c r="F48" s="78"/>
      <c r="G48" s="78"/>
      <c r="H48" s="78"/>
      <c r="I48" s="78">
        <v>3</v>
      </c>
      <c r="J48" s="78">
        <v>9</v>
      </c>
      <c r="K48" s="78">
        <v>1</v>
      </c>
      <c r="L48" s="78"/>
      <c r="M48" s="93"/>
    </row>
    <row r="49" spans="1:13" s="4" customFormat="1" ht="27.75" customHeight="1" x14ac:dyDescent="0.25">
      <c r="A49" s="84" t="s">
        <v>595</v>
      </c>
      <c r="B49" s="36" t="s">
        <v>596</v>
      </c>
      <c r="C49" s="78"/>
      <c r="D49" s="78"/>
      <c r="E49" s="78"/>
      <c r="F49" s="78"/>
      <c r="G49" s="78"/>
      <c r="H49" s="78">
        <v>2</v>
      </c>
      <c r="I49" s="78">
        <v>1</v>
      </c>
      <c r="J49" s="78">
        <v>8</v>
      </c>
      <c r="K49" s="78"/>
      <c r="L49" s="78"/>
      <c r="M49" s="93"/>
    </row>
    <row r="50" spans="1:13" s="4" customFormat="1" ht="31.5" customHeight="1" x14ac:dyDescent="0.25">
      <c r="A50" s="85" t="s">
        <v>684</v>
      </c>
      <c r="B50" s="37" t="s">
        <v>685</v>
      </c>
      <c r="C50" s="78"/>
      <c r="D50" s="78"/>
      <c r="E50" s="78"/>
      <c r="F50" s="78"/>
      <c r="G50" s="78"/>
      <c r="H50" s="78"/>
      <c r="I50" s="78">
        <f>13-2+3</f>
        <v>14</v>
      </c>
      <c r="J50" s="78">
        <f>23-2+4-3+9</f>
        <v>31</v>
      </c>
      <c r="K50" s="78"/>
      <c r="L50" s="78"/>
      <c r="M50" s="93"/>
    </row>
    <row r="51" spans="1:13" s="4" customFormat="1" ht="16.5" customHeight="1" x14ac:dyDescent="0.25">
      <c r="A51" s="85" t="s">
        <v>662</v>
      </c>
      <c r="B51" s="37" t="s">
        <v>663</v>
      </c>
      <c r="C51" s="78"/>
      <c r="D51" s="78"/>
      <c r="E51" s="78"/>
      <c r="F51" s="78"/>
      <c r="G51" s="78"/>
      <c r="H51" s="78"/>
      <c r="I51" s="78">
        <v>274</v>
      </c>
      <c r="J51" s="78">
        <v>369</v>
      </c>
      <c r="K51" s="78">
        <v>614</v>
      </c>
      <c r="L51" s="78"/>
      <c r="M51" s="93"/>
    </row>
    <row r="52" spans="1:13" s="4" customFormat="1" ht="16.5" customHeight="1" x14ac:dyDescent="0.25">
      <c r="A52" s="85" t="s">
        <v>664</v>
      </c>
      <c r="B52" s="37" t="s">
        <v>665</v>
      </c>
      <c r="C52" s="78"/>
      <c r="D52" s="78"/>
      <c r="E52" s="78"/>
      <c r="F52" s="78"/>
      <c r="G52" s="78"/>
      <c r="H52" s="78"/>
      <c r="I52" s="78"/>
      <c r="J52" s="78">
        <v>2</v>
      </c>
      <c r="K52" s="78">
        <v>1</v>
      </c>
      <c r="L52" s="78"/>
      <c r="M52" s="93"/>
    </row>
    <row r="53" spans="1:13" s="4" customFormat="1" ht="40.5" customHeight="1" x14ac:dyDescent="0.25">
      <c r="A53" s="84" t="s">
        <v>597</v>
      </c>
      <c r="B53" s="36" t="s">
        <v>598</v>
      </c>
      <c r="C53" s="78"/>
      <c r="D53" s="78"/>
      <c r="E53" s="78"/>
      <c r="F53" s="78"/>
      <c r="G53" s="78"/>
      <c r="H53" s="78"/>
      <c r="I53" s="78"/>
      <c r="J53" s="78"/>
      <c r="K53" s="78"/>
      <c r="L53" s="78"/>
      <c r="M53" s="93"/>
    </row>
    <row r="54" spans="1:13" s="4" customFormat="1" ht="28.5" customHeight="1" x14ac:dyDescent="0.25">
      <c r="A54" s="85" t="s">
        <v>689</v>
      </c>
      <c r="B54" s="37" t="s">
        <v>658</v>
      </c>
      <c r="C54" s="78"/>
      <c r="D54" s="78"/>
      <c r="E54" s="78"/>
      <c r="F54" s="78"/>
      <c r="G54" s="78"/>
      <c r="H54" s="78"/>
      <c r="I54" s="78"/>
      <c r="J54" s="78">
        <v>2</v>
      </c>
      <c r="K54" s="78"/>
      <c r="L54" s="78"/>
      <c r="M54" s="93"/>
    </row>
    <row r="55" spans="1:13" s="4" customFormat="1" ht="15" customHeight="1" x14ac:dyDescent="0.25">
      <c r="A55" s="86" t="s">
        <v>650</v>
      </c>
      <c r="B55" s="39" t="s">
        <v>651</v>
      </c>
      <c r="C55" s="78"/>
      <c r="D55" s="78"/>
      <c r="E55" s="78"/>
      <c r="F55" s="78"/>
      <c r="G55" s="78"/>
      <c r="H55" s="78"/>
      <c r="I55" s="78"/>
      <c r="J55" s="78">
        <v>2</v>
      </c>
      <c r="K55" s="78"/>
      <c r="L55" s="78"/>
      <c r="M55" s="93"/>
    </row>
    <row r="56" spans="1:13" s="4" customFormat="1" ht="30" customHeight="1" x14ac:dyDescent="0.25">
      <c r="A56" s="84" t="s">
        <v>599</v>
      </c>
      <c r="B56" s="36" t="s">
        <v>600</v>
      </c>
      <c r="C56" s="78"/>
      <c r="D56" s="78"/>
      <c r="E56" s="78"/>
      <c r="F56" s="78"/>
      <c r="G56" s="78"/>
      <c r="H56" s="78">
        <v>11.5</v>
      </c>
      <c r="I56" s="78"/>
      <c r="J56" s="78">
        <f>7.096-1.926-0.4+0.51</f>
        <v>5.2799999999999994</v>
      </c>
      <c r="K56" s="78">
        <v>1.9259999999999999</v>
      </c>
      <c r="L56" s="78"/>
      <c r="M56" s="93"/>
    </row>
    <row r="57" spans="1:13" s="4" customFormat="1" ht="29.25" customHeight="1" x14ac:dyDescent="0.25">
      <c r="A57" s="84" t="s">
        <v>601</v>
      </c>
      <c r="B57" s="36" t="s">
        <v>602</v>
      </c>
      <c r="C57" s="78"/>
      <c r="D57" s="78"/>
      <c r="E57" s="78"/>
      <c r="F57" s="78"/>
      <c r="G57" s="78"/>
      <c r="H57" s="78"/>
      <c r="I57" s="78"/>
      <c r="J57" s="78">
        <f>2.298-0.488+0.49-0.7+0.79</f>
        <v>2.3899999999999997</v>
      </c>
      <c r="K57" s="78"/>
      <c r="L57" s="78"/>
      <c r="M57" s="93"/>
    </row>
    <row r="58" spans="1:13" s="4" customFormat="1" ht="18.75" customHeight="1" x14ac:dyDescent="0.25">
      <c r="A58" s="84" t="s">
        <v>603</v>
      </c>
      <c r="B58" s="36" t="s">
        <v>604</v>
      </c>
      <c r="C58" s="78"/>
      <c r="D58" s="78"/>
      <c r="E58" s="78"/>
      <c r="F58" s="78"/>
      <c r="G58" s="78"/>
      <c r="H58" s="78"/>
      <c r="I58" s="78">
        <v>3</v>
      </c>
      <c r="J58" s="78">
        <v>2</v>
      </c>
      <c r="K58" s="78">
        <v>1</v>
      </c>
      <c r="L58" s="78">
        <v>6</v>
      </c>
      <c r="M58" s="93"/>
    </row>
    <row r="59" spans="1:13" s="4" customFormat="1" ht="16.5" customHeight="1" x14ac:dyDescent="0.25">
      <c r="A59" s="84" t="s">
        <v>688</v>
      </c>
      <c r="B59" s="36" t="s">
        <v>873</v>
      </c>
      <c r="C59" s="78"/>
      <c r="D59" s="78"/>
      <c r="E59" s="78"/>
      <c r="F59" s="78"/>
      <c r="G59" s="78"/>
      <c r="H59" s="78"/>
      <c r="I59" s="78"/>
      <c r="J59" s="78"/>
      <c r="K59" s="78"/>
      <c r="L59" s="78">
        <v>2</v>
      </c>
      <c r="M59" s="93"/>
    </row>
    <row r="60" spans="1:13" s="4" customFormat="1" ht="32.25" customHeight="1" x14ac:dyDescent="0.25">
      <c r="A60" s="84" t="s">
        <v>605</v>
      </c>
      <c r="B60" s="36" t="s">
        <v>606</v>
      </c>
      <c r="C60" s="78"/>
      <c r="D60" s="78"/>
      <c r="E60" s="78"/>
      <c r="F60" s="78"/>
      <c r="G60" s="78"/>
      <c r="H60" s="78"/>
      <c r="I60" s="78"/>
      <c r="J60" s="78">
        <v>26</v>
      </c>
      <c r="K60" s="78">
        <v>4</v>
      </c>
      <c r="L60" s="78"/>
      <c r="M60" s="93"/>
    </row>
    <row r="61" spans="1:13" s="4" customFormat="1" ht="42.75" customHeight="1" x14ac:dyDescent="0.25">
      <c r="A61" s="84" t="s">
        <v>607</v>
      </c>
      <c r="B61" s="36" t="s">
        <v>608</v>
      </c>
      <c r="C61" s="78"/>
      <c r="D61" s="78"/>
      <c r="E61" s="78"/>
      <c r="F61" s="78"/>
      <c r="G61" s="78"/>
      <c r="H61" s="78"/>
      <c r="I61" s="78">
        <f>276.74</f>
        <v>276.74</v>
      </c>
      <c r="J61" s="78">
        <f>220.2+549.34</f>
        <v>769.54</v>
      </c>
      <c r="K61" s="78"/>
      <c r="L61" s="78"/>
      <c r="M61" s="93"/>
    </row>
    <row r="62" spans="1:13" s="4" customFormat="1" ht="32.25" customHeight="1" x14ac:dyDescent="0.25">
      <c r="A62" s="85" t="s">
        <v>609</v>
      </c>
      <c r="B62" s="36" t="s">
        <v>610</v>
      </c>
      <c r="C62" s="78"/>
      <c r="D62" s="78"/>
      <c r="E62" s="78"/>
      <c r="F62" s="78"/>
      <c r="G62" s="78"/>
      <c r="H62" s="78">
        <f>2963.8+3273.05+13065.4+4393.11+3954.34+2533.94</f>
        <v>30183.64</v>
      </c>
      <c r="I62" s="78">
        <v>1618.42</v>
      </c>
      <c r="J62" s="78"/>
      <c r="K62" s="78"/>
      <c r="L62" s="78"/>
      <c r="M62" s="93"/>
    </row>
    <row r="63" spans="1:13" s="4" customFormat="1" ht="32.25" customHeight="1" x14ac:dyDescent="0.25">
      <c r="A63" s="84" t="s">
        <v>611</v>
      </c>
      <c r="B63" s="36" t="s">
        <v>612</v>
      </c>
      <c r="C63" s="78"/>
      <c r="D63" s="78"/>
      <c r="E63" s="78"/>
      <c r="F63" s="78"/>
      <c r="G63" s="78">
        <v>0.65</v>
      </c>
      <c r="H63" s="78"/>
      <c r="I63" s="78">
        <f>48.424-6.387+6.38-26.22+26.28-8.189+8.19-26.28</f>
        <v>22.198</v>
      </c>
      <c r="J63" s="78">
        <f>12.128-7.62+7.6-4.508+4.51+26.28</f>
        <v>38.39</v>
      </c>
      <c r="K63" s="78">
        <v>9.8369999999999997</v>
      </c>
      <c r="L63" s="78"/>
      <c r="M63" s="93"/>
    </row>
    <row r="64" spans="1:13" s="4" customFormat="1" ht="35.25" customHeight="1" x14ac:dyDescent="0.25">
      <c r="A64" s="84" t="s">
        <v>613</v>
      </c>
      <c r="B64" s="36" t="s">
        <v>614</v>
      </c>
      <c r="C64" s="78"/>
      <c r="D64" s="78"/>
      <c r="E64" s="78"/>
      <c r="F64" s="78"/>
      <c r="G64" s="78"/>
      <c r="H64" s="78"/>
      <c r="I64" s="78">
        <v>6</v>
      </c>
      <c r="J64" s="78">
        <v>1</v>
      </c>
      <c r="K64" s="78"/>
      <c r="L64" s="78"/>
      <c r="M64" s="93"/>
    </row>
    <row r="65" spans="1:13" s="4" customFormat="1" ht="33" customHeight="1" x14ac:dyDescent="0.25">
      <c r="A65" s="84" t="s">
        <v>874</v>
      </c>
      <c r="B65" s="36" t="s">
        <v>875</v>
      </c>
      <c r="C65" s="78"/>
      <c r="D65" s="78"/>
      <c r="E65" s="78"/>
      <c r="F65" s="78"/>
      <c r="G65" s="78"/>
      <c r="H65" s="78"/>
      <c r="I65" s="78">
        <v>1</v>
      </c>
      <c r="J65" s="78"/>
      <c r="K65" s="78"/>
      <c r="L65" s="78"/>
      <c r="M65" s="93"/>
    </row>
    <row r="66" spans="1:13" s="4" customFormat="1" ht="32.25" customHeight="1" x14ac:dyDescent="0.25">
      <c r="A66" s="84" t="s">
        <v>615</v>
      </c>
      <c r="B66" s="36" t="s">
        <v>616</v>
      </c>
      <c r="C66" s="78"/>
      <c r="D66" s="78"/>
      <c r="E66" s="78"/>
      <c r="F66" s="78"/>
      <c r="G66" s="78"/>
      <c r="H66" s="78">
        <v>2</v>
      </c>
      <c r="I66" s="78">
        <v>1</v>
      </c>
      <c r="J66" s="78">
        <v>2</v>
      </c>
      <c r="K66" s="78"/>
      <c r="L66" s="78"/>
      <c r="M66" s="93">
        <v>1</v>
      </c>
    </row>
    <row r="67" spans="1:13" s="4" customFormat="1" ht="12.75" customHeight="1" x14ac:dyDescent="0.25">
      <c r="A67" s="86" t="s">
        <v>646</v>
      </c>
      <c r="B67" s="39" t="s">
        <v>647</v>
      </c>
      <c r="C67" s="78"/>
      <c r="D67" s="78"/>
      <c r="E67" s="78"/>
      <c r="F67" s="78"/>
      <c r="G67" s="78"/>
      <c r="H67" s="78">
        <v>9</v>
      </c>
      <c r="I67" s="78"/>
      <c r="J67" s="78"/>
      <c r="K67" s="78"/>
      <c r="L67" s="78"/>
      <c r="M67" s="93"/>
    </row>
    <row r="68" spans="1:13" s="4" customFormat="1" ht="29.25" customHeight="1" x14ac:dyDescent="0.25">
      <c r="A68" s="88" t="s">
        <v>617</v>
      </c>
      <c r="B68" s="38" t="s">
        <v>618</v>
      </c>
      <c r="C68" s="78"/>
      <c r="D68" s="78"/>
      <c r="E68" s="78"/>
      <c r="F68" s="78"/>
      <c r="G68" s="78"/>
      <c r="H68" s="78">
        <f>27-1+8-1-1-8</f>
        <v>24</v>
      </c>
      <c r="I68" s="78">
        <f>11-4+1+1+8</f>
        <v>17</v>
      </c>
      <c r="J68" s="78">
        <f>12-1+4-1+4-1+3-1</f>
        <v>19</v>
      </c>
      <c r="K68" s="78">
        <f>3+7</f>
        <v>10</v>
      </c>
      <c r="L68" s="78"/>
      <c r="M68" s="93">
        <v>1</v>
      </c>
    </row>
    <row r="69" spans="1:13" ht="29.25" customHeight="1" x14ac:dyDescent="0.25">
      <c r="A69" s="84" t="s">
        <v>619</v>
      </c>
      <c r="B69" s="36" t="s">
        <v>620</v>
      </c>
      <c r="C69" s="78"/>
      <c r="D69" s="78"/>
      <c r="E69" s="78"/>
      <c r="F69" s="78"/>
      <c r="G69" s="78"/>
      <c r="H69" s="78"/>
      <c r="I69" s="78">
        <v>5</v>
      </c>
      <c r="J69" s="78">
        <v>0</v>
      </c>
      <c r="K69" s="78">
        <v>3</v>
      </c>
      <c r="L69" s="78"/>
      <c r="M69" s="93"/>
    </row>
    <row r="70" spans="1:13" ht="29.25" customHeight="1" x14ac:dyDescent="0.25">
      <c r="A70" s="84" t="s">
        <v>621</v>
      </c>
      <c r="B70" s="36" t="s">
        <v>622</v>
      </c>
      <c r="C70" s="78"/>
      <c r="D70" s="78"/>
      <c r="E70" s="78"/>
      <c r="F70" s="78"/>
      <c r="G70" s="78">
        <v>3</v>
      </c>
      <c r="H70" s="78">
        <f>210-19+20</f>
        <v>211</v>
      </c>
      <c r="I70" s="78">
        <f>41-11+28</f>
        <v>58</v>
      </c>
      <c r="J70" s="78">
        <v>40</v>
      </c>
      <c r="K70" s="78"/>
      <c r="L70" s="78">
        <v>80</v>
      </c>
      <c r="M70" s="93"/>
    </row>
    <row r="71" spans="1:13" ht="25.5" customHeight="1" x14ac:dyDescent="0.25">
      <c r="A71" s="85" t="s">
        <v>644</v>
      </c>
      <c r="B71" s="39" t="s">
        <v>645</v>
      </c>
      <c r="C71" s="78"/>
      <c r="D71" s="78"/>
      <c r="E71" s="78"/>
      <c r="F71" s="78"/>
      <c r="G71" s="78"/>
      <c r="H71" s="78"/>
      <c r="I71" s="78">
        <v>13</v>
      </c>
      <c r="J71" s="78">
        <v>45</v>
      </c>
      <c r="K71" s="78"/>
      <c r="L71" s="78"/>
      <c r="M71" s="93"/>
    </row>
    <row r="72" spans="1:13" ht="18.75" customHeight="1" x14ac:dyDescent="0.25">
      <c r="A72" s="84" t="s">
        <v>623</v>
      </c>
      <c r="B72" s="36" t="s">
        <v>624</v>
      </c>
      <c r="C72" s="78"/>
      <c r="D72" s="78"/>
      <c r="E72" s="78"/>
      <c r="F72" s="78"/>
      <c r="G72" s="78"/>
      <c r="H72" s="78"/>
      <c r="I72" s="78">
        <f>129014-37866+34969</f>
        <v>126117</v>
      </c>
      <c r="J72" s="83">
        <f>143675.5-10265+12746-8440+19288.7-10206.5+17724-84826+84868-13198+44147-16740+77618</f>
        <v>256391.7</v>
      </c>
      <c r="K72" s="83">
        <v>38026</v>
      </c>
      <c r="L72" s="78">
        <v>3938</v>
      </c>
      <c r="M72" s="93"/>
    </row>
    <row r="73" spans="1:13" ht="36.75" customHeight="1" x14ac:dyDescent="0.25">
      <c r="A73" s="84" t="s">
        <v>625</v>
      </c>
      <c r="B73" s="36" t="s">
        <v>626</v>
      </c>
      <c r="C73" s="78"/>
      <c r="D73" s="78"/>
      <c r="E73" s="78"/>
      <c r="F73" s="78"/>
      <c r="G73" s="78"/>
      <c r="H73" s="78"/>
      <c r="I73" s="78"/>
      <c r="J73" s="78">
        <f>268.37+15</f>
        <v>283.37</v>
      </c>
      <c r="K73" s="78"/>
      <c r="L73" s="78"/>
      <c r="M73" s="93"/>
    </row>
    <row r="74" spans="1:13" ht="59.25" customHeight="1" x14ac:dyDescent="0.25">
      <c r="A74" s="84" t="s">
        <v>627</v>
      </c>
      <c r="B74" s="36" t="s">
        <v>628</v>
      </c>
      <c r="C74" s="78"/>
      <c r="D74" s="79"/>
      <c r="E74" s="79"/>
      <c r="F74" s="79"/>
      <c r="G74" s="79"/>
      <c r="H74" s="79"/>
      <c r="I74" s="79"/>
      <c r="J74" s="79"/>
      <c r="K74" s="78"/>
      <c r="L74" s="78"/>
      <c r="M74" s="93"/>
    </row>
    <row r="75" spans="1:13" ht="46.5" customHeight="1" x14ac:dyDescent="0.25">
      <c r="A75" s="85" t="s">
        <v>642</v>
      </c>
      <c r="B75" s="39" t="s">
        <v>643</v>
      </c>
      <c r="C75" s="78"/>
      <c r="D75" s="79"/>
      <c r="E75" s="79"/>
      <c r="F75" s="79"/>
      <c r="G75" s="79"/>
      <c r="H75" s="79"/>
      <c r="I75" s="79"/>
      <c r="J75" s="79">
        <v>7383</v>
      </c>
      <c r="K75" s="78">
        <v>4775</v>
      </c>
      <c r="L75" s="78">
        <v>2388</v>
      </c>
      <c r="M75" s="93"/>
    </row>
    <row r="76" spans="1:13" ht="45" customHeight="1" x14ac:dyDescent="0.25">
      <c r="A76" s="84" t="s">
        <v>629</v>
      </c>
      <c r="B76" s="36" t="s">
        <v>630</v>
      </c>
      <c r="C76" s="78"/>
      <c r="D76" s="79"/>
      <c r="E76" s="79"/>
      <c r="F76" s="79"/>
      <c r="G76" s="79"/>
      <c r="H76" s="79">
        <v>0</v>
      </c>
      <c r="I76" s="79">
        <v>0</v>
      </c>
      <c r="J76" s="79">
        <v>0</v>
      </c>
      <c r="K76" s="78"/>
      <c r="L76" s="78"/>
      <c r="M76" s="93"/>
    </row>
    <row r="77" spans="1:13" ht="33" customHeight="1" x14ac:dyDescent="0.25">
      <c r="A77" s="85" t="s">
        <v>682</v>
      </c>
      <c r="B77" s="37" t="s">
        <v>683</v>
      </c>
      <c r="C77" s="78"/>
      <c r="D77" s="79"/>
      <c r="E77" s="79"/>
      <c r="F77" s="79"/>
      <c r="G77" s="79"/>
      <c r="H77" s="79"/>
      <c r="I77" s="79">
        <v>180</v>
      </c>
      <c r="J77" s="79">
        <f>238-34+35+20</f>
        <v>259</v>
      </c>
      <c r="K77" s="78"/>
      <c r="L77" s="78"/>
      <c r="M77" s="93"/>
    </row>
    <row r="78" spans="1:13" s="4" customFormat="1" ht="42.75" customHeight="1" x14ac:dyDescent="0.25">
      <c r="A78" s="89" t="s">
        <v>631</v>
      </c>
      <c r="B78" s="60" t="s">
        <v>632</v>
      </c>
      <c r="C78" s="78"/>
      <c r="D78" s="79"/>
      <c r="E78" s="79"/>
      <c r="F78" s="79"/>
      <c r="G78" s="79"/>
      <c r="H78" s="79">
        <v>2</v>
      </c>
      <c r="I78" s="79"/>
      <c r="J78" s="79">
        <v>6</v>
      </c>
      <c r="K78" s="78">
        <v>19</v>
      </c>
      <c r="L78" s="78"/>
      <c r="M78" s="93"/>
    </row>
    <row r="79" spans="1:13" s="4" customFormat="1" ht="58.5" customHeight="1" x14ac:dyDescent="0.25">
      <c r="A79" s="84" t="s">
        <v>633</v>
      </c>
      <c r="B79" s="36" t="s">
        <v>634</v>
      </c>
      <c r="C79" s="78"/>
      <c r="D79" s="79"/>
      <c r="E79" s="79"/>
      <c r="F79" s="79"/>
      <c r="G79" s="79"/>
      <c r="H79" s="79">
        <v>30</v>
      </c>
      <c r="I79" s="79"/>
      <c r="J79" s="79">
        <v>160</v>
      </c>
      <c r="K79" s="78">
        <v>23</v>
      </c>
      <c r="L79" s="78"/>
      <c r="M79" s="93"/>
    </row>
    <row r="80" spans="1:13" s="4" customFormat="1" ht="33" customHeight="1" x14ac:dyDescent="0.25">
      <c r="A80" s="84" t="s">
        <v>636</v>
      </c>
      <c r="B80" s="36" t="s">
        <v>637</v>
      </c>
      <c r="C80" s="78"/>
      <c r="D80" s="79"/>
      <c r="E80" s="79"/>
      <c r="F80" s="79"/>
      <c r="G80" s="79"/>
      <c r="H80" s="79">
        <v>141.01</v>
      </c>
      <c r="I80" s="79">
        <v>11.6</v>
      </c>
      <c r="J80" s="79">
        <v>9.83</v>
      </c>
      <c r="K80" s="78"/>
      <c r="L80" s="78"/>
      <c r="M80" s="93">
        <v>4.2</v>
      </c>
    </row>
    <row r="81" spans="1:13" s="4" customFormat="1" ht="33" customHeight="1" x14ac:dyDescent="0.25">
      <c r="A81" s="84" t="s">
        <v>638</v>
      </c>
      <c r="B81" s="36" t="s">
        <v>639</v>
      </c>
      <c r="C81" s="78"/>
      <c r="D81" s="79"/>
      <c r="E81" s="79"/>
      <c r="F81" s="79"/>
      <c r="G81" s="79"/>
      <c r="H81" s="79"/>
      <c r="I81" s="79">
        <v>229</v>
      </c>
      <c r="J81" s="79">
        <v>132</v>
      </c>
      <c r="K81" s="78">
        <v>131</v>
      </c>
      <c r="L81" s="78"/>
      <c r="M81" s="93"/>
    </row>
    <row r="82" spans="1:13" s="4" customFormat="1" ht="33" customHeight="1" x14ac:dyDescent="0.25">
      <c r="A82" s="85" t="s">
        <v>668</v>
      </c>
      <c r="B82" s="37" t="s">
        <v>669</v>
      </c>
      <c r="C82" s="78"/>
      <c r="D82" s="79"/>
      <c r="E82" s="79"/>
      <c r="F82" s="79"/>
      <c r="G82" s="79"/>
      <c r="H82" s="79"/>
      <c r="I82" s="79">
        <v>153</v>
      </c>
      <c r="J82" s="79">
        <v>92</v>
      </c>
      <c r="K82" s="78">
        <v>68</v>
      </c>
      <c r="L82" s="78"/>
      <c r="M82" s="93"/>
    </row>
    <row r="83" spans="1:13" s="4" customFormat="1" ht="33" customHeight="1" x14ac:dyDescent="0.25">
      <c r="A83" s="84" t="s">
        <v>635</v>
      </c>
      <c r="B83" s="36" t="s">
        <v>876</v>
      </c>
      <c r="C83" s="78"/>
      <c r="D83" s="79"/>
      <c r="E83" s="79"/>
      <c r="F83" s="79"/>
      <c r="G83" s="79"/>
      <c r="H83" s="79"/>
      <c r="I83" s="79"/>
      <c r="J83" s="79"/>
      <c r="K83" s="78"/>
      <c r="L83" s="78"/>
      <c r="M83" s="93"/>
    </row>
    <row r="84" spans="1:13" s="4" customFormat="1" ht="48.75" customHeight="1" x14ac:dyDescent="0.25">
      <c r="A84" s="85" t="s">
        <v>666</v>
      </c>
      <c r="B84" s="37" t="s">
        <v>667</v>
      </c>
      <c r="C84" s="78"/>
      <c r="D84" s="79"/>
      <c r="E84" s="79"/>
      <c r="F84" s="79"/>
      <c r="G84" s="79"/>
      <c r="H84" s="79"/>
      <c r="I84" s="79"/>
      <c r="J84" s="79"/>
      <c r="K84" s="78"/>
      <c r="L84" s="78"/>
      <c r="M84" s="93"/>
    </row>
    <row r="85" spans="1:13" s="4" customFormat="1" ht="33" customHeight="1" x14ac:dyDescent="0.25">
      <c r="A85" s="85" t="s">
        <v>703</v>
      </c>
      <c r="B85" s="37" t="s">
        <v>659</v>
      </c>
      <c r="C85" s="78"/>
      <c r="D85" s="79"/>
      <c r="E85" s="79"/>
      <c r="F85" s="79"/>
      <c r="G85" s="79"/>
      <c r="H85" s="79">
        <f>0.08+0.01</f>
        <v>0.09</v>
      </c>
      <c r="I85" s="79">
        <f>0.02</f>
        <v>0.02</v>
      </c>
      <c r="J85" s="79">
        <f>0.5+0.0002433</f>
        <v>0.50024329999999995</v>
      </c>
      <c r="K85" s="78"/>
      <c r="L85" s="78"/>
      <c r="M85" s="93"/>
    </row>
    <row r="86" spans="1:13" s="4" customFormat="1" ht="17.25" customHeight="1" x14ac:dyDescent="0.25">
      <c r="A86" s="85" t="s">
        <v>877</v>
      </c>
      <c r="B86" s="37" t="s">
        <v>700</v>
      </c>
      <c r="C86" s="78"/>
      <c r="D86" s="79"/>
      <c r="E86" s="79"/>
      <c r="F86" s="79"/>
      <c r="G86" s="79">
        <v>1</v>
      </c>
      <c r="H86" s="79"/>
      <c r="I86" s="79"/>
      <c r="J86" s="79">
        <v>1</v>
      </c>
      <c r="K86" s="78"/>
      <c r="L86" s="78"/>
      <c r="M86" s="93"/>
    </row>
    <row r="87" spans="1:13" s="4" customFormat="1" ht="17.25" customHeight="1" x14ac:dyDescent="0.25">
      <c r="A87" s="85" t="s">
        <v>878</v>
      </c>
      <c r="B87" s="37" t="s">
        <v>699</v>
      </c>
      <c r="C87" s="78"/>
      <c r="D87" s="79"/>
      <c r="E87" s="79"/>
      <c r="F87" s="79"/>
      <c r="G87" s="79"/>
      <c r="H87" s="79"/>
      <c r="I87" s="79"/>
      <c r="J87" s="79">
        <v>1</v>
      </c>
      <c r="K87" s="78"/>
      <c r="L87" s="78"/>
      <c r="M87" s="93"/>
    </row>
    <row r="88" spans="1:13" s="4" customFormat="1" ht="17.25" customHeight="1" x14ac:dyDescent="0.25">
      <c r="A88" s="85" t="s">
        <v>879</v>
      </c>
      <c r="B88" s="37" t="s">
        <v>698</v>
      </c>
      <c r="C88" s="78"/>
      <c r="D88" s="79"/>
      <c r="E88" s="79"/>
      <c r="F88" s="79"/>
      <c r="G88" s="79"/>
      <c r="H88" s="79"/>
      <c r="I88" s="79"/>
      <c r="J88" s="79">
        <v>1</v>
      </c>
      <c r="K88" s="78"/>
      <c r="L88" s="78"/>
      <c r="M88" s="93"/>
    </row>
    <row r="89" spans="1:13" s="4" customFormat="1" ht="17.25" customHeight="1" x14ac:dyDescent="0.25">
      <c r="A89" s="85" t="s">
        <v>880</v>
      </c>
      <c r="B89" s="37" t="s">
        <v>697</v>
      </c>
      <c r="C89" s="78"/>
      <c r="D89" s="79"/>
      <c r="E89" s="79"/>
      <c r="F89" s="79"/>
      <c r="G89" s="79"/>
      <c r="H89" s="79">
        <v>1</v>
      </c>
      <c r="I89" s="79"/>
      <c r="J89" s="79"/>
      <c r="K89" s="78"/>
      <c r="L89" s="78"/>
      <c r="M89" s="93"/>
    </row>
    <row r="90" spans="1:13" s="4" customFormat="1" ht="17.25" customHeight="1" x14ac:dyDescent="0.25">
      <c r="A90" s="85" t="s">
        <v>881</v>
      </c>
      <c r="B90" s="37" t="s">
        <v>696</v>
      </c>
      <c r="C90" s="78"/>
      <c r="D90" s="79"/>
      <c r="E90" s="79"/>
      <c r="F90" s="79"/>
      <c r="G90" s="79"/>
      <c r="H90" s="79">
        <v>1</v>
      </c>
      <c r="I90" s="79"/>
      <c r="J90" s="79"/>
      <c r="K90" s="78"/>
      <c r="L90" s="78"/>
      <c r="M90" s="93"/>
    </row>
    <row r="91" spans="1:13" s="4" customFormat="1" ht="17.25" customHeight="1" x14ac:dyDescent="0.25">
      <c r="A91" s="85" t="s">
        <v>882</v>
      </c>
      <c r="B91" s="37" t="s">
        <v>695</v>
      </c>
      <c r="C91" s="78"/>
      <c r="D91" s="79"/>
      <c r="E91" s="79"/>
      <c r="F91" s="79"/>
      <c r="G91" s="79">
        <v>1</v>
      </c>
      <c r="H91" s="79"/>
      <c r="I91" s="79"/>
      <c r="J91" s="79"/>
      <c r="K91" s="78"/>
      <c r="L91" s="78"/>
      <c r="M91" s="93"/>
    </row>
    <row r="93" spans="1:13" ht="15.75" x14ac:dyDescent="0.25">
      <c r="A93" s="5" t="s">
        <v>24</v>
      </c>
      <c r="B93" s="18"/>
      <c r="C93" s="18"/>
      <c r="D93" s="18"/>
      <c r="E93" s="18"/>
      <c r="F93" s="18"/>
      <c r="G93" s="18"/>
      <c r="H93" s="18"/>
      <c r="I93" s="18"/>
      <c r="J93" s="18"/>
      <c r="K93" s="18"/>
      <c r="L93" s="18"/>
      <c r="M93" s="18"/>
    </row>
    <row r="94" spans="1:13" x14ac:dyDescent="0.25">
      <c r="A94" s="94" t="s">
        <v>1</v>
      </c>
      <c r="B94" s="95" t="s">
        <v>19</v>
      </c>
      <c r="C94" s="96" t="s">
        <v>2</v>
      </c>
      <c r="D94" s="96" t="s">
        <v>1411</v>
      </c>
      <c r="E94" s="96" t="s">
        <v>1412</v>
      </c>
      <c r="F94" s="96" t="s">
        <v>1413</v>
      </c>
      <c r="G94" s="96" t="s">
        <v>1414</v>
      </c>
      <c r="H94" s="96" t="s">
        <v>1415</v>
      </c>
      <c r="I94" s="96" t="s">
        <v>1416</v>
      </c>
      <c r="J94" s="96" t="s">
        <v>1417</v>
      </c>
      <c r="K94" s="96" t="s">
        <v>1418</v>
      </c>
      <c r="L94" s="96" t="s">
        <v>1419</v>
      </c>
      <c r="M94" s="97" t="s">
        <v>1420</v>
      </c>
    </row>
    <row r="95" spans="1:13" x14ac:dyDescent="0.25">
      <c r="A95" s="84" t="s">
        <v>865</v>
      </c>
      <c r="B95" s="36" t="s">
        <v>554</v>
      </c>
      <c r="C95" s="78"/>
      <c r="D95" s="78"/>
      <c r="E95" s="78"/>
      <c r="F95" s="78"/>
      <c r="G95" s="78"/>
      <c r="H95" s="78">
        <v>1</v>
      </c>
      <c r="I95" s="78">
        <v>1</v>
      </c>
      <c r="J95" s="78">
        <v>5</v>
      </c>
      <c r="K95" s="78"/>
      <c r="L95" s="78"/>
      <c r="M95" s="93"/>
    </row>
    <row r="96" spans="1:13" ht="25.5" x14ac:dyDescent="0.25">
      <c r="A96" s="85" t="s">
        <v>866</v>
      </c>
      <c r="B96" s="37" t="s">
        <v>692</v>
      </c>
      <c r="C96" s="78"/>
      <c r="D96" s="79"/>
      <c r="E96" s="79"/>
      <c r="F96" s="79"/>
      <c r="G96" s="79"/>
      <c r="H96" s="79">
        <v>55</v>
      </c>
      <c r="I96" s="79">
        <f>16+Lentelė2[[#This Row],[2018]]</f>
        <v>71</v>
      </c>
      <c r="J96" s="79">
        <f>20+Lentelė2[[#This Row],[2019]]</f>
        <v>91</v>
      </c>
      <c r="K96" s="78"/>
      <c r="L96" s="78"/>
      <c r="M96" s="93"/>
    </row>
    <row r="97" spans="1:13" ht="25.5" x14ac:dyDescent="0.25">
      <c r="A97" s="85" t="s">
        <v>867</v>
      </c>
      <c r="B97" s="37" t="s">
        <v>691</v>
      </c>
      <c r="C97" s="78"/>
      <c r="D97" s="79"/>
      <c r="E97" s="79"/>
      <c r="F97" s="79"/>
      <c r="G97" s="79"/>
      <c r="H97" s="79">
        <v>15273</v>
      </c>
      <c r="I97" s="79">
        <f>7641-177-406-635+Lentelė2[[#This Row],[2018]]</f>
        <v>21696</v>
      </c>
      <c r="J97" s="79">
        <f>7313+177+406+635+Lentelė2[[#This Row],[2019]]</f>
        <v>30227</v>
      </c>
      <c r="K97" s="78"/>
      <c r="L97" s="78"/>
      <c r="M97" s="93"/>
    </row>
    <row r="98" spans="1:13" ht="25.5" x14ac:dyDescent="0.25">
      <c r="A98" s="85" t="s">
        <v>868</v>
      </c>
      <c r="B98" s="37" t="s">
        <v>690</v>
      </c>
      <c r="C98" s="78"/>
      <c r="D98" s="79"/>
      <c r="E98" s="79"/>
      <c r="F98" s="79"/>
      <c r="G98" s="79"/>
      <c r="H98" s="79">
        <v>37</v>
      </c>
      <c r="I98" s="99">
        <f>10+Lentelė2[[#This Row],[2018]]</f>
        <v>47</v>
      </c>
      <c r="J98" s="99">
        <f>20+Lentelė2[[#This Row],[2019]]</f>
        <v>67</v>
      </c>
      <c r="K98" s="78"/>
      <c r="L98" s="78"/>
      <c r="M98" s="93"/>
    </row>
    <row r="99" spans="1:13" ht="38.25" x14ac:dyDescent="0.25">
      <c r="A99" s="84" t="s">
        <v>555</v>
      </c>
      <c r="B99" s="36" t="s">
        <v>556</v>
      </c>
      <c r="C99" s="78"/>
      <c r="D99" s="79"/>
      <c r="E99" s="79"/>
      <c r="F99" s="79"/>
      <c r="G99" s="79"/>
      <c r="H99" s="79"/>
      <c r="I99" s="79">
        <f>66297-2000+12400-3400+9000-1200+17550-2000+2200</f>
        <v>98847</v>
      </c>
      <c r="J99" s="79">
        <f>460+I99</f>
        <v>99307</v>
      </c>
      <c r="K99" s="78"/>
      <c r="L99" s="78"/>
      <c r="M99" s="93"/>
    </row>
    <row r="100" spans="1:13" x14ac:dyDescent="0.25">
      <c r="A100" s="84" t="s">
        <v>557</v>
      </c>
      <c r="B100" s="36" t="s">
        <v>558</v>
      </c>
      <c r="C100" s="78"/>
      <c r="D100" s="79"/>
      <c r="E100" s="79"/>
      <c r="F100" s="79"/>
      <c r="G100" s="79"/>
      <c r="H100" s="79">
        <f>3.307-2.903+2.9-0.404+0.4</f>
        <v>3.3</v>
      </c>
      <c r="I100" s="79">
        <f>3.0463-0.1965+0.2-0.614+0.61-0.3+0.47-1.2858+1.29+Lentelė2[[#This Row],[2018]]</f>
        <v>6.5200000000000005</v>
      </c>
      <c r="J100" s="79">
        <f>16.207-1.159+1.16-0.295+0.29-0.688+0.67-9.635+Lentelė2[[#This Row],[2019]]-0.49</f>
        <v>12.58</v>
      </c>
      <c r="K100" s="78">
        <f>3.189-2.089+2.08+9.68+Lentelė2[[#This Row],[2020]]</f>
        <v>25.439999999999998</v>
      </c>
      <c r="L100" s="78"/>
      <c r="M100" s="93"/>
    </row>
    <row r="101" spans="1:13" ht="26.25" x14ac:dyDescent="0.25">
      <c r="A101" s="86" t="s">
        <v>648</v>
      </c>
      <c r="B101" s="39" t="s">
        <v>649</v>
      </c>
      <c r="C101" s="78"/>
      <c r="D101" s="79"/>
      <c r="E101" s="79"/>
      <c r="F101" s="79"/>
      <c r="G101" s="79"/>
      <c r="H101" s="79"/>
      <c r="I101" s="81"/>
      <c r="J101" s="79"/>
      <c r="K101" s="78"/>
      <c r="L101" s="78"/>
      <c r="M101" s="93"/>
    </row>
    <row r="102" spans="1:13" x14ac:dyDescent="0.25">
      <c r="A102" s="87" t="s">
        <v>676</v>
      </c>
      <c r="B102" s="39" t="s">
        <v>677</v>
      </c>
      <c r="C102" s="78"/>
      <c r="D102" s="79"/>
      <c r="E102" s="79"/>
      <c r="F102" s="79"/>
      <c r="G102" s="79"/>
      <c r="H102" s="79">
        <v>0.56259999999999999</v>
      </c>
      <c r="I102" s="79">
        <f>H102</f>
        <v>0.56259999999999999</v>
      </c>
      <c r="J102" s="79">
        <f>0.413+I102</f>
        <v>0.97560000000000002</v>
      </c>
      <c r="K102" s="78"/>
      <c r="L102" s="78"/>
      <c r="M102" s="93"/>
    </row>
    <row r="103" spans="1:13" ht="26.25" x14ac:dyDescent="0.25">
      <c r="A103" s="86" t="s">
        <v>652</v>
      </c>
      <c r="B103" s="39" t="s">
        <v>653</v>
      </c>
      <c r="C103" s="78"/>
      <c r="D103" s="79"/>
      <c r="E103" s="79"/>
      <c r="F103" s="79"/>
      <c r="G103" s="79"/>
      <c r="H103" s="79"/>
      <c r="I103" s="79"/>
      <c r="J103" s="79"/>
      <c r="K103" s="78"/>
      <c r="L103" s="78"/>
      <c r="M103" s="93"/>
    </row>
    <row r="104" spans="1:13" ht="26.25" x14ac:dyDescent="0.25">
      <c r="A104" s="87" t="s">
        <v>656</v>
      </c>
      <c r="B104" s="39" t="s">
        <v>657</v>
      </c>
      <c r="C104" s="78"/>
      <c r="D104" s="78"/>
      <c r="E104" s="78"/>
      <c r="F104" s="78"/>
      <c r="G104" s="78"/>
      <c r="H104" s="78"/>
      <c r="I104" s="82"/>
      <c r="J104" s="78"/>
      <c r="K104" s="78"/>
      <c r="L104" s="78"/>
      <c r="M104" s="93"/>
    </row>
    <row r="105" spans="1:13" ht="26.25" x14ac:dyDescent="0.25">
      <c r="A105" s="85" t="s">
        <v>640</v>
      </c>
      <c r="B105" s="39" t="s">
        <v>641</v>
      </c>
      <c r="C105" s="78"/>
      <c r="D105" s="78"/>
      <c r="E105" s="78"/>
      <c r="F105" s="78"/>
      <c r="G105" s="78"/>
      <c r="H105" s="78"/>
      <c r="I105" s="78"/>
      <c r="J105" s="78"/>
      <c r="K105" s="78"/>
      <c r="L105" s="78"/>
      <c r="M105" s="93"/>
    </row>
    <row r="106" spans="1:13" ht="26.25" x14ac:dyDescent="0.25">
      <c r="A106" s="86" t="s">
        <v>654</v>
      </c>
      <c r="B106" s="39" t="s">
        <v>655</v>
      </c>
      <c r="C106" s="78"/>
      <c r="D106" s="78"/>
      <c r="E106" s="78"/>
      <c r="F106" s="78"/>
      <c r="G106" s="78"/>
      <c r="H106" s="78">
        <v>1623</v>
      </c>
      <c r="I106" s="78">
        <f>2788-200+205-200+205-225+254-550+579+Lentelė2[[#This Row],[2018]]-1+185</f>
        <v>4663</v>
      </c>
      <c r="J106" s="78">
        <f>7981+1500-20+56-185+241-50+213-104+142-473+569-290+305+Lentelė2[[#This Row],[2019]]</f>
        <v>14548</v>
      </c>
      <c r="K106" s="78">
        <f>251+Lentelė2[[#This Row],[2020]]</f>
        <v>14799</v>
      </c>
      <c r="L106" s="78"/>
      <c r="M106" s="93"/>
    </row>
    <row r="107" spans="1:13" ht="25.5" x14ac:dyDescent="0.25">
      <c r="A107" s="84" t="s">
        <v>559</v>
      </c>
      <c r="B107" s="36" t="s">
        <v>560</v>
      </c>
      <c r="C107" s="78"/>
      <c r="D107" s="78"/>
      <c r="E107" s="78"/>
      <c r="F107" s="78"/>
      <c r="G107" s="78"/>
      <c r="H107" s="78"/>
      <c r="I107" s="78">
        <f>26466-837+726-2188+1476-828+804-11000+10675-1944+2444-343+542-337+408-1800+2563-680+752-2500+2654</f>
        <v>27053</v>
      </c>
      <c r="J107" s="78">
        <f>331573-2412-34600+33163-7217+6282-33163+31454-9400+6046-8891+8591-20349+18532-44851+40300-4437+4301-4137+4110-8209+8700-11385+10271-2037+3034-2750+3138-1240+1363+Lentelė2[[#This Row],[2019]]</f>
        <v>342833</v>
      </c>
      <c r="K107" s="78"/>
      <c r="L107" s="78"/>
      <c r="M107" s="93"/>
    </row>
    <row r="108" spans="1:13" x14ac:dyDescent="0.25">
      <c r="A108" s="84" t="s">
        <v>561</v>
      </c>
      <c r="B108" s="36" t="s">
        <v>562</v>
      </c>
      <c r="C108" s="78"/>
      <c r="D108" s="78"/>
      <c r="E108" s="78"/>
      <c r="F108" s="78"/>
      <c r="G108" s="78">
        <v>12872</v>
      </c>
      <c r="H108" s="78">
        <f>197114.63-10246.01+10254.94-58156+58078.93+Lentelė2[[#This Row],[2017]]-12000</f>
        <v>197918.49</v>
      </c>
      <c r="I108" s="101">
        <f>288615-20000+18513+11000-141600+44389.82-10015+9810+Lentelė2[[#This Row],[2018]]-11000+12000-18513+18000-117000</f>
        <v>282118.31</v>
      </c>
      <c r="J108" s="101">
        <f>1035734.6-15200+58867.3-35000+34983.5-509851.88+509583.14-3534+3703.51-68477+70822+Lentelė2[[#This Row],[2019]]+10000-34500+13000+117000</f>
        <v>1469249.48</v>
      </c>
      <c r="K108" s="101">
        <f>312925+Lentelė2[[#This Row],[2020]]-48650+88169-264275</f>
        <v>1557418.48</v>
      </c>
      <c r="L108" s="101">
        <f>Lentelė2[[#This Row],[2021]]</f>
        <v>1557418.48</v>
      </c>
      <c r="M108" s="93">
        <f>69121-29000+69385-702+634-20000+29305+Lentelė2[[#This Row],[2022]]+264275</f>
        <v>1940436.48</v>
      </c>
    </row>
    <row r="109" spans="1:13" ht="25.5" x14ac:dyDescent="0.25">
      <c r="A109" s="84" t="s">
        <v>563</v>
      </c>
      <c r="B109" s="36" t="s">
        <v>564</v>
      </c>
      <c r="C109" s="78"/>
      <c r="D109" s="78"/>
      <c r="E109" s="78">
        <v>3073</v>
      </c>
      <c r="F109" s="78">
        <f>Lentelė2[[#This Row],[2015]]</f>
        <v>3073</v>
      </c>
      <c r="G109" s="78">
        <f>Lentelė2[[#This Row],[2016]]</f>
        <v>3073</v>
      </c>
      <c r="H109" s="78">
        <f>Lentelė2[[#This Row],[2017]]</f>
        <v>3073</v>
      </c>
      <c r="I109" s="78">
        <f>11594.02-794.02+2685.47+Lentelė2[[#This Row],[2018]]+5100</f>
        <v>21658.47</v>
      </c>
      <c r="J109" s="78">
        <f>7467-147+431.89-2000+Lentelė2[[#This Row],[2019]]+5100-5320</f>
        <v>27190.36</v>
      </c>
      <c r="K109" s="78">
        <f>948.09+2000+Lentelė2[[#This Row],[2020]]</f>
        <v>30138.45</v>
      </c>
      <c r="L109" s="78">
        <f>Lentelė2[[#This Row],[2021]]</f>
        <v>30138.45</v>
      </c>
      <c r="M109" s="78">
        <f>510-494+564.71+Lentelė2[[#This Row],[2022]]</f>
        <v>30719.16</v>
      </c>
    </row>
    <row r="110" spans="1:13" ht="25.5" x14ac:dyDescent="0.25">
      <c r="A110" s="84" t="s">
        <v>565</v>
      </c>
      <c r="B110" s="36" t="s">
        <v>566</v>
      </c>
      <c r="C110" s="78"/>
      <c r="D110" s="78"/>
      <c r="E110" s="78"/>
      <c r="F110" s="78"/>
      <c r="G110" s="78"/>
      <c r="H110" s="78"/>
      <c r="I110" s="78"/>
      <c r="J110" s="78"/>
      <c r="K110" s="78"/>
      <c r="L110" s="78"/>
      <c r="M110" s="93"/>
    </row>
    <row r="111" spans="1:13" ht="25.5" x14ac:dyDescent="0.25">
      <c r="A111" s="85" t="s">
        <v>670</v>
      </c>
      <c r="B111" s="37" t="s">
        <v>671</v>
      </c>
      <c r="C111" s="78"/>
      <c r="D111" s="78"/>
      <c r="E111" s="78"/>
      <c r="F111" s="78"/>
      <c r="G111" s="78"/>
      <c r="H111" s="78"/>
      <c r="I111" s="78">
        <v>100</v>
      </c>
      <c r="J111" s="78">
        <v>120</v>
      </c>
      <c r="K111" s="78"/>
      <c r="L111" s="78"/>
      <c r="M111" s="93"/>
    </row>
    <row r="112" spans="1:13" ht="38.25" x14ac:dyDescent="0.25">
      <c r="A112" s="84" t="s">
        <v>567</v>
      </c>
      <c r="B112" s="36" t="s">
        <v>568</v>
      </c>
      <c r="C112" s="78"/>
      <c r="D112" s="78"/>
      <c r="E112" s="78"/>
      <c r="F112" s="78"/>
      <c r="G112" s="78">
        <v>131</v>
      </c>
      <c r="H112" s="78">
        <f>Lentelė2[[#This Row],[2017]]</f>
        <v>131</v>
      </c>
      <c r="I112" s="78">
        <f>2501-1231+Lentelė2[[#This Row],[2018]]</f>
        <v>1401</v>
      </c>
      <c r="J112" s="78">
        <f>1075+1231+Lentelė2[[#This Row],[2019]]</f>
        <v>3707</v>
      </c>
      <c r="K112" s="78">
        <f>323+Lentelė2[[#This Row],[2020]]</f>
        <v>4030</v>
      </c>
      <c r="L112" s="78"/>
      <c r="M112" s="93"/>
    </row>
    <row r="113" spans="1:13" ht="38.25" x14ac:dyDescent="0.25">
      <c r="A113" s="84" t="s">
        <v>569</v>
      </c>
      <c r="B113" s="36" t="s">
        <v>570</v>
      </c>
      <c r="C113" s="78"/>
      <c r="D113" s="78"/>
      <c r="E113" s="78"/>
      <c r="F113" s="78"/>
      <c r="G113" s="78"/>
      <c r="H113" s="78"/>
      <c r="I113" s="78">
        <v>2285</v>
      </c>
      <c r="J113" s="78">
        <f>Lentelė2[[#This Row],[2019]]</f>
        <v>2285</v>
      </c>
      <c r="K113" s="78">
        <f>7852+Lentelė2[[#This Row],[2020]]</f>
        <v>10137</v>
      </c>
      <c r="L113" s="78"/>
      <c r="M113" s="93"/>
    </row>
    <row r="114" spans="1:13" ht="25.5" x14ac:dyDescent="0.25">
      <c r="A114" s="84" t="s">
        <v>571</v>
      </c>
      <c r="B114" s="36" t="s">
        <v>572</v>
      </c>
      <c r="C114" s="78"/>
      <c r="D114" s="78"/>
      <c r="E114" s="78"/>
      <c r="F114" s="78"/>
      <c r="G114" s="78">
        <v>478</v>
      </c>
      <c r="H114" s="78">
        <f>Lentelė2[[#This Row],[2017]]</f>
        <v>478</v>
      </c>
      <c r="I114" s="78">
        <f>4505-1812+Lentelė2[[#This Row],[2018]]</f>
        <v>3171</v>
      </c>
      <c r="J114" s="78">
        <f>2015+1812+Lentelė2[[#This Row],[2019]]</f>
        <v>6998</v>
      </c>
      <c r="K114" s="78">
        <f>416+Lentelė2[[#This Row],[2020]]</f>
        <v>7414</v>
      </c>
      <c r="L114" s="78"/>
      <c r="M114" s="93"/>
    </row>
    <row r="115" spans="1:13" ht="38.25" x14ac:dyDescent="0.25">
      <c r="A115" s="84" t="s">
        <v>573</v>
      </c>
      <c r="B115" s="36" t="s">
        <v>574</v>
      </c>
      <c r="C115" s="78"/>
      <c r="D115" s="78"/>
      <c r="E115" s="78"/>
      <c r="F115" s="78"/>
      <c r="G115" s="78"/>
      <c r="H115" s="78"/>
      <c r="I115" s="78">
        <f>308714-308292</f>
        <v>422</v>
      </c>
      <c r="J115" s="78">
        <f>1159-506+285-425+168+308292+Lentelė2[[#This Row],[2019]]</f>
        <v>309395</v>
      </c>
      <c r="K115" s="78">
        <f>3600+Lentelė2[[#This Row],[2020]]</f>
        <v>312995</v>
      </c>
      <c r="L115" s="78"/>
      <c r="M115" s="93"/>
    </row>
    <row r="116" spans="1:13" ht="25.5" x14ac:dyDescent="0.25">
      <c r="A116" s="84" t="s">
        <v>575</v>
      </c>
      <c r="B116" s="36" t="s">
        <v>576</v>
      </c>
      <c r="C116" s="78"/>
      <c r="D116" s="78"/>
      <c r="E116" s="78"/>
      <c r="F116" s="78"/>
      <c r="G116" s="78"/>
      <c r="H116" s="78"/>
      <c r="I116" s="78"/>
      <c r="J116" s="78"/>
      <c r="K116" s="78"/>
      <c r="L116" s="78"/>
      <c r="M116" s="93"/>
    </row>
    <row r="117" spans="1:13" x14ac:dyDescent="0.25">
      <c r="A117" s="84" t="s">
        <v>869</v>
      </c>
      <c r="B117" s="36" t="s">
        <v>870</v>
      </c>
      <c r="C117" s="78"/>
      <c r="D117" s="78"/>
      <c r="E117" s="78"/>
      <c r="F117" s="78"/>
      <c r="G117" s="78"/>
      <c r="H117" s="78"/>
      <c r="I117" s="78">
        <v>5</v>
      </c>
      <c r="J117" s="78"/>
      <c r="K117" s="78"/>
      <c r="L117" s="78"/>
      <c r="M117" s="93"/>
    </row>
    <row r="118" spans="1:13" ht="38.25" x14ac:dyDescent="0.25">
      <c r="A118" s="84" t="s">
        <v>577</v>
      </c>
      <c r="B118" s="36" t="s">
        <v>578</v>
      </c>
      <c r="C118" s="78"/>
      <c r="D118" s="78"/>
      <c r="E118" s="78"/>
      <c r="F118" s="78"/>
      <c r="G118" s="78"/>
      <c r="H118" s="78">
        <v>2</v>
      </c>
      <c r="I118" s="78">
        <v>4</v>
      </c>
      <c r="J118" s="78">
        <v>7</v>
      </c>
      <c r="K118" s="78"/>
      <c r="L118" s="78"/>
      <c r="M118" s="93"/>
    </row>
    <row r="119" spans="1:13" ht="25.5" x14ac:dyDescent="0.25">
      <c r="A119" s="84" t="s">
        <v>579</v>
      </c>
      <c r="B119" s="36" t="s">
        <v>580</v>
      </c>
      <c r="C119" s="78"/>
      <c r="D119" s="78"/>
      <c r="E119" s="78"/>
      <c r="F119" s="78"/>
      <c r="G119" s="98"/>
      <c r="H119" s="78">
        <v>69</v>
      </c>
      <c r="I119" s="78"/>
      <c r="J119" s="78"/>
      <c r="K119" s="78"/>
      <c r="L119" s="78"/>
      <c r="M119" s="93"/>
    </row>
    <row r="120" spans="1:13" x14ac:dyDescent="0.25">
      <c r="A120" s="87" t="s">
        <v>680</v>
      </c>
      <c r="B120" s="39" t="s">
        <v>681</v>
      </c>
      <c r="C120" s="78"/>
      <c r="D120" s="78"/>
      <c r="E120" s="78"/>
      <c r="F120" s="78"/>
      <c r="G120" s="78"/>
      <c r="H120" s="78"/>
      <c r="I120" s="78"/>
      <c r="J120" s="78">
        <v>3</v>
      </c>
      <c r="K120" s="78"/>
      <c r="L120" s="78"/>
      <c r="M120" s="93"/>
    </row>
    <row r="121" spans="1:13" ht="26.25" x14ac:dyDescent="0.25">
      <c r="A121" s="87" t="s">
        <v>678</v>
      </c>
      <c r="B121" s="39" t="s">
        <v>679</v>
      </c>
      <c r="C121" s="78"/>
      <c r="D121" s="78"/>
      <c r="E121" s="78"/>
      <c r="F121" s="78"/>
      <c r="G121" s="78"/>
      <c r="H121" s="78">
        <v>4</v>
      </c>
      <c r="I121" s="78"/>
      <c r="J121" s="78">
        <v>5</v>
      </c>
      <c r="K121" s="78"/>
      <c r="L121" s="78"/>
      <c r="M121" s="93"/>
    </row>
    <row r="122" spans="1:13" x14ac:dyDescent="0.25">
      <c r="A122" s="85" t="s">
        <v>672</v>
      </c>
      <c r="B122" s="37" t="s">
        <v>673</v>
      </c>
      <c r="C122" s="78"/>
      <c r="D122" s="78"/>
      <c r="E122" s="78"/>
      <c r="F122" s="78"/>
      <c r="G122" s="78"/>
      <c r="H122" s="78">
        <v>1</v>
      </c>
      <c r="I122" s="78"/>
      <c r="J122" s="78"/>
      <c r="K122" s="78"/>
      <c r="L122" s="78"/>
      <c r="M122" s="93"/>
    </row>
    <row r="123" spans="1:13" ht="25.5" x14ac:dyDescent="0.25">
      <c r="A123" s="85" t="s">
        <v>674</v>
      </c>
      <c r="B123" s="37" t="s">
        <v>675</v>
      </c>
      <c r="C123" s="78"/>
      <c r="D123" s="78"/>
      <c r="E123" s="78"/>
      <c r="F123" s="78"/>
      <c r="G123" s="78"/>
      <c r="H123" s="78">
        <v>1</v>
      </c>
      <c r="I123" s="78"/>
      <c r="J123" s="78"/>
      <c r="K123" s="78"/>
      <c r="L123" s="78"/>
      <c r="M123" s="93"/>
    </row>
    <row r="124" spans="1:13" x14ac:dyDescent="0.25">
      <c r="A124" s="84" t="s">
        <v>581</v>
      </c>
      <c r="B124" s="36" t="s">
        <v>582</v>
      </c>
      <c r="C124" s="78"/>
      <c r="D124" s="78"/>
      <c r="E124" s="78"/>
      <c r="F124" s="78"/>
      <c r="G124" s="78">
        <v>2</v>
      </c>
      <c r="H124" s="78">
        <v>7</v>
      </c>
      <c r="I124" s="78">
        <v>11</v>
      </c>
      <c r="J124" s="78">
        <v>15</v>
      </c>
      <c r="K124" s="78"/>
      <c r="L124" s="78"/>
      <c r="M124" s="93"/>
    </row>
    <row r="125" spans="1:13" x14ac:dyDescent="0.25">
      <c r="A125" s="84" t="s">
        <v>871</v>
      </c>
      <c r="B125" s="36" t="s">
        <v>872</v>
      </c>
      <c r="C125" s="78"/>
      <c r="D125" s="78"/>
      <c r="E125" s="78"/>
      <c r="F125" s="78"/>
      <c r="G125" s="78">
        <v>2</v>
      </c>
      <c r="H125" s="78">
        <v>3</v>
      </c>
      <c r="I125" s="78"/>
      <c r="J125" s="78"/>
      <c r="K125" s="78"/>
      <c r="L125" s="78"/>
      <c r="M125" s="93"/>
    </row>
    <row r="126" spans="1:13" x14ac:dyDescent="0.25">
      <c r="A126" s="85" t="s">
        <v>660</v>
      </c>
      <c r="B126" s="37" t="s">
        <v>661</v>
      </c>
      <c r="C126" s="78"/>
      <c r="D126" s="78"/>
      <c r="E126" s="78"/>
      <c r="F126" s="78"/>
      <c r="G126" s="78"/>
      <c r="H126" s="78"/>
      <c r="I126" s="78">
        <v>0.5</v>
      </c>
      <c r="J126" s="78">
        <f>I126</f>
        <v>0.5</v>
      </c>
      <c r="K126" s="78">
        <f>J126</f>
        <v>0.5</v>
      </c>
      <c r="L126" s="78">
        <f>0.33+K126</f>
        <v>0.83000000000000007</v>
      </c>
      <c r="M126" s="93">
        <f>0.02+L126</f>
        <v>0.85000000000000009</v>
      </c>
    </row>
    <row r="127" spans="1:13" ht="25.5" x14ac:dyDescent="0.25">
      <c r="A127" s="84" t="s">
        <v>583</v>
      </c>
      <c r="B127" s="36" t="s">
        <v>584</v>
      </c>
      <c r="C127" s="78"/>
      <c r="D127" s="78"/>
      <c r="E127" s="78"/>
      <c r="F127" s="78"/>
      <c r="G127" s="78"/>
      <c r="H127" s="78"/>
      <c r="I127" s="78"/>
      <c r="J127" s="78"/>
      <c r="K127" s="78"/>
      <c r="L127" s="78"/>
      <c r="M127" s="93"/>
    </row>
    <row r="128" spans="1:13" x14ac:dyDescent="0.25">
      <c r="A128" s="85" t="s">
        <v>585</v>
      </c>
      <c r="B128" s="36" t="s">
        <v>586</v>
      </c>
      <c r="C128" s="78"/>
      <c r="D128" s="78"/>
      <c r="E128" s="78"/>
      <c r="F128" s="78"/>
      <c r="G128" s="78"/>
      <c r="H128" s="78"/>
      <c r="I128" s="78"/>
      <c r="J128" s="78"/>
      <c r="K128" s="78"/>
      <c r="L128" s="78"/>
      <c r="M128" s="93"/>
    </row>
    <row r="129" spans="1:13" x14ac:dyDescent="0.25">
      <c r="A129" s="84" t="s">
        <v>587</v>
      </c>
      <c r="B129" s="36" t="s">
        <v>588</v>
      </c>
      <c r="C129" s="78"/>
      <c r="D129" s="78"/>
      <c r="E129" s="78"/>
      <c r="F129" s="78"/>
      <c r="G129" s="78"/>
      <c r="H129" s="78"/>
      <c r="I129" s="78"/>
      <c r="J129" s="83"/>
      <c r="K129" s="78"/>
      <c r="L129" s="78"/>
      <c r="M129" s="93"/>
    </row>
    <row r="130" spans="1:13" ht="51" x14ac:dyDescent="0.25">
      <c r="A130" s="84" t="s">
        <v>589</v>
      </c>
      <c r="B130" s="36" t="s">
        <v>590</v>
      </c>
      <c r="C130" s="78"/>
      <c r="D130" s="78"/>
      <c r="E130" s="78"/>
      <c r="F130" s="78"/>
      <c r="G130" s="78"/>
      <c r="H130" s="78"/>
      <c r="I130" s="78"/>
      <c r="J130" s="78"/>
      <c r="K130" s="78">
        <v>66</v>
      </c>
      <c r="L130" s="78">
        <f>388+K130</f>
        <v>454</v>
      </c>
      <c r="M130" s="93"/>
    </row>
    <row r="131" spans="1:13" x14ac:dyDescent="0.25">
      <c r="A131" s="85" t="s">
        <v>686</v>
      </c>
      <c r="B131" s="37" t="s">
        <v>687</v>
      </c>
      <c r="C131" s="78"/>
      <c r="D131" s="78"/>
      <c r="E131" s="78"/>
      <c r="F131" s="78"/>
      <c r="G131" s="78"/>
      <c r="H131" s="78"/>
      <c r="I131" s="78"/>
      <c r="J131" s="78"/>
      <c r="K131" s="78"/>
      <c r="L131" s="78">
        <v>1</v>
      </c>
      <c r="M131" s="93"/>
    </row>
    <row r="132" spans="1:13" ht="25.5" x14ac:dyDescent="0.25">
      <c r="A132" s="84" t="s">
        <v>591</v>
      </c>
      <c r="B132" s="36" t="s">
        <v>592</v>
      </c>
      <c r="C132" s="78"/>
      <c r="D132" s="78"/>
      <c r="E132" s="78"/>
      <c r="F132" s="78"/>
      <c r="G132" s="78"/>
      <c r="H132" s="78"/>
      <c r="I132" s="78">
        <v>5</v>
      </c>
      <c r="J132" s="78">
        <v>11</v>
      </c>
      <c r="K132" s="78"/>
      <c r="L132" s="78"/>
      <c r="M132" s="93"/>
    </row>
    <row r="133" spans="1:13" ht="25.5" x14ac:dyDescent="0.25">
      <c r="A133" s="84" t="s">
        <v>593</v>
      </c>
      <c r="B133" s="36" t="s">
        <v>594</v>
      </c>
      <c r="C133" s="78"/>
      <c r="D133" s="78"/>
      <c r="E133" s="78"/>
      <c r="F133" s="78"/>
      <c r="G133" s="78"/>
      <c r="H133" s="78"/>
      <c r="I133" s="78">
        <v>3</v>
      </c>
      <c r="J133" s="78">
        <v>12</v>
      </c>
      <c r="K133" s="78">
        <v>13</v>
      </c>
      <c r="L133" s="78"/>
      <c r="M133" s="93"/>
    </row>
    <row r="134" spans="1:13" ht="25.5" x14ac:dyDescent="0.25">
      <c r="A134" s="84" t="s">
        <v>595</v>
      </c>
      <c r="B134" s="36" t="s">
        <v>596</v>
      </c>
      <c r="C134" s="78"/>
      <c r="D134" s="78"/>
      <c r="E134" s="78"/>
      <c r="F134" s="78"/>
      <c r="G134" s="78"/>
      <c r="H134" s="78">
        <v>2</v>
      </c>
      <c r="I134" s="78">
        <v>3</v>
      </c>
      <c r="J134" s="78">
        <v>11</v>
      </c>
      <c r="K134" s="78"/>
      <c r="L134" s="78"/>
      <c r="M134" s="93"/>
    </row>
    <row r="135" spans="1:13" ht="25.5" x14ac:dyDescent="0.25">
      <c r="A135" s="85" t="s">
        <v>684</v>
      </c>
      <c r="B135" s="37" t="s">
        <v>685</v>
      </c>
      <c r="C135" s="78"/>
      <c r="D135" s="78"/>
      <c r="E135" s="78"/>
      <c r="F135" s="78"/>
      <c r="G135" s="78"/>
      <c r="H135" s="78"/>
      <c r="I135" s="78">
        <f>13-2+3</f>
        <v>14</v>
      </c>
      <c r="J135" s="78">
        <f>23-2+4-3+9+Lentelė2[[#This Row],[2019]]</f>
        <v>45</v>
      </c>
      <c r="K135" s="78"/>
      <c r="L135" s="78"/>
      <c r="M135" s="93"/>
    </row>
    <row r="136" spans="1:13" x14ac:dyDescent="0.25">
      <c r="A136" s="85" t="s">
        <v>662</v>
      </c>
      <c r="B136" s="37" t="s">
        <v>663</v>
      </c>
      <c r="C136" s="78"/>
      <c r="D136" s="78"/>
      <c r="E136" s="78"/>
      <c r="F136" s="78"/>
      <c r="G136" s="78"/>
      <c r="H136" s="78"/>
      <c r="I136" s="78">
        <v>274</v>
      </c>
      <c r="J136" s="78">
        <f>369+I136</f>
        <v>643</v>
      </c>
      <c r="K136" s="78">
        <f>614+J136</f>
        <v>1257</v>
      </c>
      <c r="L136" s="78"/>
      <c r="M136" s="93"/>
    </row>
    <row r="137" spans="1:13" x14ac:dyDescent="0.25">
      <c r="A137" s="85" t="s">
        <v>664</v>
      </c>
      <c r="B137" s="37" t="s">
        <v>665</v>
      </c>
      <c r="C137" s="78"/>
      <c r="D137" s="78"/>
      <c r="E137" s="78"/>
      <c r="F137" s="78"/>
      <c r="G137" s="78"/>
      <c r="H137" s="78"/>
      <c r="I137" s="78"/>
      <c r="J137" s="78">
        <v>2</v>
      </c>
      <c r="K137" s="78">
        <v>3</v>
      </c>
      <c r="L137" s="78"/>
      <c r="M137" s="93"/>
    </row>
    <row r="138" spans="1:13" ht="38.25" x14ac:dyDescent="0.25">
      <c r="A138" s="84" t="s">
        <v>597</v>
      </c>
      <c r="B138" s="36" t="s">
        <v>598</v>
      </c>
      <c r="C138" s="78"/>
      <c r="D138" s="78"/>
      <c r="E138" s="78"/>
      <c r="F138" s="78"/>
      <c r="G138" s="78"/>
      <c r="H138" s="78"/>
      <c r="I138" s="78"/>
      <c r="J138" s="78"/>
      <c r="K138" s="78"/>
      <c r="L138" s="78"/>
      <c r="M138" s="93"/>
    </row>
    <row r="139" spans="1:13" ht="25.5" x14ac:dyDescent="0.25">
      <c r="A139" s="85" t="s">
        <v>689</v>
      </c>
      <c r="B139" s="37" t="s">
        <v>658</v>
      </c>
      <c r="C139" s="78"/>
      <c r="D139" s="78"/>
      <c r="E139" s="78"/>
      <c r="F139" s="78"/>
      <c r="G139" s="78"/>
      <c r="H139" s="78"/>
      <c r="I139" s="78"/>
      <c r="J139" s="78">
        <v>2</v>
      </c>
      <c r="K139" s="78"/>
      <c r="L139" s="78"/>
      <c r="M139" s="93"/>
    </row>
    <row r="140" spans="1:13" x14ac:dyDescent="0.25">
      <c r="A140" s="86" t="s">
        <v>650</v>
      </c>
      <c r="B140" s="39" t="s">
        <v>651</v>
      </c>
      <c r="C140" s="78"/>
      <c r="D140" s="78"/>
      <c r="E140" s="78"/>
      <c r="F140" s="78"/>
      <c r="G140" s="78"/>
      <c r="H140" s="78"/>
      <c r="I140" s="78"/>
      <c r="J140" s="78">
        <v>2</v>
      </c>
      <c r="K140" s="78"/>
      <c r="L140" s="78"/>
      <c r="M140" s="93"/>
    </row>
    <row r="141" spans="1:13" ht="25.5" x14ac:dyDescent="0.25">
      <c r="A141" s="84" t="s">
        <v>599</v>
      </c>
      <c r="B141" s="36" t="s">
        <v>600</v>
      </c>
      <c r="C141" s="78"/>
      <c r="D141" s="78"/>
      <c r="E141" s="78"/>
      <c r="F141" s="78"/>
      <c r="G141" s="78"/>
      <c r="H141" s="78">
        <v>11.5</v>
      </c>
      <c r="I141" s="78">
        <f>H141</f>
        <v>11.5</v>
      </c>
      <c r="J141" s="78">
        <f>7.096+I141-1.926-0.4+0.51</f>
        <v>16.780000000000005</v>
      </c>
      <c r="K141" s="78">
        <f>J141+1.926</f>
        <v>18.706000000000003</v>
      </c>
      <c r="L141" s="78"/>
      <c r="M141" s="93"/>
    </row>
    <row r="142" spans="1:13" ht="25.5" x14ac:dyDescent="0.25">
      <c r="A142" s="84" t="s">
        <v>601</v>
      </c>
      <c r="B142" s="36" t="s">
        <v>602</v>
      </c>
      <c r="C142" s="78"/>
      <c r="D142" s="78"/>
      <c r="E142" s="78"/>
      <c r="F142" s="78"/>
      <c r="G142" s="78"/>
      <c r="H142" s="78"/>
      <c r="I142" s="78"/>
      <c r="J142" s="78">
        <f>2.298-0.488+0.49-0.7+0.79</f>
        <v>2.3899999999999997</v>
      </c>
      <c r="K142" s="78"/>
      <c r="L142" s="78"/>
      <c r="M142" s="93"/>
    </row>
    <row r="143" spans="1:13" x14ac:dyDescent="0.25">
      <c r="A143" s="84" t="s">
        <v>603</v>
      </c>
      <c r="B143" s="36" t="s">
        <v>604</v>
      </c>
      <c r="C143" s="78"/>
      <c r="D143" s="78"/>
      <c r="E143" s="78"/>
      <c r="F143" s="78"/>
      <c r="G143" s="78"/>
      <c r="H143" s="78"/>
      <c r="I143" s="78">
        <v>3</v>
      </c>
      <c r="J143" s="78">
        <v>5</v>
      </c>
      <c r="K143" s="78">
        <v>6</v>
      </c>
      <c r="L143" s="78">
        <v>12</v>
      </c>
      <c r="M143" s="93"/>
    </row>
    <row r="144" spans="1:13" x14ac:dyDescent="0.25">
      <c r="A144" s="84" t="s">
        <v>688</v>
      </c>
      <c r="B144" s="36" t="s">
        <v>873</v>
      </c>
      <c r="C144" s="78"/>
      <c r="D144" s="78"/>
      <c r="E144" s="78"/>
      <c r="F144" s="78"/>
      <c r="G144" s="78"/>
      <c r="H144" s="78"/>
      <c r="I144" s="78"/>
      <c r="J144" s="78"/>
      <c r="K144" s="78"/>
      <c r="L144" s="78">
        <v>2</v>
      </c>
      <c r="M144" s="93"/>
    </row>
    <row r="145" spans="1:13" ht="25.5" x14ac:dyDescent="0.25">
      <c r="A145" s="84" t="s">
        <v>605</v>
      </c>
      <c r="B145" s="36" t="s">
        <v>606</v>
      </c>
      <c r="C145" s="78"/>
      <c r="D145" s="78"/>
      <c r="E145" s="78"/>
      <c r="F145" s="78"/>
      <c r="G145" s="78"/>
      <c r="H145" s="78"/>
      <c r="I145" s="78"/>
      <c r="J145" s="78">
        <v>26</v>
      </c>
      <c r="K145" s="78">
        <v>30</v>
      </c>
      <c r="L145" s="78"/>
      <c r="M145" s="93"/>
    </row>
    <row r="146" spans="1:13" ht="38.25" x14ac:dyDescent="0.25">
      <c r="A146" s="84" t="s">
        <v>607</v>
      </c>
      <c r="B146" s="36" t="s">
        <v>608</v>
      </c>
      <c r="C146" s="78"/>
      <c r="D146" s="78"/>
      <c r="E146" s="78"/>
      <c r="F146" s="78"/>
      <c r="G146" s="78"/>
      <c r="H146" s="78"/>
      <c r="I146" s="78">
        <f>276.74</f>
        <v>276.74</v>
      </c>
      <c r="J146" s="78">
        <f>220.2+549.34+Lentelė2[[#This Row],[2019]]</f>
        <v>1046.28</v>
      </c>
      <c r="K146" s="78"/>
      <c r="L146" s="78"/>
      <c r="M146" s="93"/>
    </row>
    <row r="147" spans="1:13" ht="25.5" x14ac:dyDescent="0.25">
      <c r="A147" s="85" t="s">
        <v>609</v>
      </c>
      <c r="B147" s="36" t="s">
        <v>610</v>
      </c>
      <c r="C147" s="78"/>
      <c r="D147" s="78"/>
      <c r="E147" s="78"/>
      <c r="F147" s="78"/>
      <c r="G147" s="78"/>
      <c r="H147" s="78">
        <f>2963.8+3273.05+13065.4+4393.11+3954.34+2533.94</f>
        <v>30183.64</v>
      </c>
      <c r="I147" s="78">
        <f>1618.42+Lentelė2[[#This Row],[2018]]</f>
        <v>31802.059999999998</v>
      </c>
      <c r="J147" s="78"/>
      <c r="K147" s="78"/>
      <c r="L147" s="78"/>
      <c r="M147" s="93"/>
    </row>
    <row r="148" spans="1:13" ht="25.5" x14ac:dyDescent="0.25">
      <c r="A148" s="84" t="s">
        <v>611</v>
      </c>
      <c r="B148" s="36" t="s">
        <v>612</v>
      </c>
      <c r="C148" s="78"/>
      <c r="D148" s="78"/>
      <c r="E148" s="78"/>
      <c r="F148" s="78"/>
      <c r="G148" s="78">
        <v>0.65</v>
      </c>
      <c r="H148" s="78">
        <f>Lentelė2[[#This Row],[2017]]</f>
        <v>0.65</v>
      </c>
      <c r="I148" s="78">
        <f>48.424-6.387+6.38-26.22+26.28-8.189+8.19-26.28+Lentelė2[[#This Row],[2018]]</f>
        <v>22.847999999999999</v>
      </c>
      <c r="J148" s="78">
        <f>12.128-7.62+7.6-4.508+4.51+26.28+Lentelė2[[#This Row],[2019]]</f>
        <v>61.238</v>
      </c>
      <c r="K148" s="78">
        <f>9.837+Lentelė2[[#This Row],[2020]]</f>
        <v>71.075000000000003</v>
      </c>
      <c r="L148" s="78"/>
      <c r="M148" s="93"/>
    </row>
    <row r="149" spans="1:13" ht="25.5" x14ac:dyDescent="0.25">
      <c r="A149" s="84" t="s">
        <v>613</v>
      </c>
      <c r="B149" s="36" t="s">
        <v>614</v>
      </c>
      <c r="C149" s="78"/>
      <c r="D149" s="78"/>
      <c r="E149" s="78"/>
      <c r="F149" s="78"/>
      <c r="G149" s="78"/>
      <c r="H149" s="78"/>
      <c r="I149" s="78">
        <v>6</v>
      </c>
      <c r="J149" s="78">
        <v>7</v>
      </c>
      <c r="K149" s="78"/>
      <c r="L149" s="78"/>
      <c r="M149" s="93"/>
    </row>
    <row r="150" spans="1:13" ht="25.5" x14ac:dyDescent="0.25">
      <c r="A150" s="84" t="s">
        <v>874</v>
      </c>
      <c r="B150" s="36" t="s">
        <v>875</v>
      </c>
      <c r="C150" s="78"/>
      <c r="D150" s="78"/>
      <c r="E150" s="78"/>
      <c r="F150" s="78"/>
      <c r="G150" s="78"/>
      <c r="H150" s="78"/>
      <c r="I150" s="78">
        <v>1</v>
      </c>
      <c r="J150" s="78"/>
      <c r="K150" s="78"/>
      <c r="L150" s="78"/>
      <c r="M150" s="93"/>
    </row>
    <row r="151" spans="1:13" ht="25.5" x14ac:dyDescent="0.25">
      <c r="A151" s="84" t="s">
        <v>615</v>
      </c>
      <c r="B151" s="36" t="s">
        <v>616</v>
      </c>
      <c r="C151" s="78"/>
      <c r="D151" s="78"/>
      <c r="E151" s="78"/>
      <c r="F151" s="78"/>
      <c r="G151" s="78"/>
      <c r="H151" s="78">
        <v>2</v>
      </c>
      <c r="I151" s="78">
        <v>3</v>
      </c>
      <c r="J151" s="78">
        <v>5</v>
      </c>
      <c r="K151" s="78">
        <v>5</v>
      </c>
      <c r="L151" s="78">
        <v>5</v>
      </c>
      <c r="M151" s="93">
        <v>6</v>
      </c>
    </row>
    <row r="152" spans="1:13" x14ac:dyDescent="0.25">
      <c r="A152" s="86" t="s">
        <v>646</v>
      </c>
      <c r="B152" s="39" t="s">
        <v>647</v>
      </c>
      <c r="C152" s="78"/>
      <c r="D152" s="78"/>
      <c r="E152" s="78"/>
      <c r="F152" s="78"/>
      <c r="G152" s="78"/>
      <c r="H152" s="78">
        <v>9</v>
      </c>
      <c r="I152" s="78"/>
      <c r="J152" s="78"/>
      <c r="K152" s="78"/>
      <c r="L152" s="78"/>
      <c r="M152" s="93"/>
    </row>
    <row r="153" spans="1:13" ht="25.5" x14ac:dyDescent="0.25">
      <c r="A153" s="88" t="s">
        <v>617</v>
      </c>
      <c r="B153" s="38" t="s">
        <v>618</v>
      </c>
      <c r="C153" s="78"/>
      <c r="D153" s="78"/>
      <c r="E153" s="78"/>
      <c r="F153" s="78"/>
      <c r="G153" s="78"/>
      <c r="H153" s="78">
        <f>27-1+8-1-1-8</f>
        <v>24</v>
      </c>
      <c r="I153" s="78">
        <f>11-4+Lentelė2[[#This Row],[2018]]+1+1+8</f>
        <v>41</v>
      </c>
      <c r="J153" s="78">
        <f>12-1+4-1+4-1+3-1+Lentelė2[[#This Row],[2019]]</f>
        <v>60</v>
      </c>
      <c r="K153" s="78">
        <f>3+7+Lentelė2[[#This Row],[2020]]</f>
        <v>70</v>
      </c>
      <c r="L153" s="78">
        <f>Lentelė2[[#This Row],[2021]]</f>
        <v>70</v>
      </c>
      <c r="M153" s="93">
        <f>1+Lentelė2[[#This Row],[2022]]</f>
        <v>71</v>
      </c>
    </row>
    <row r="154" spans="1:13" ht="25.5" x14ac:dyDescent="0.25">
      <c r="A154" s="84" t="s">
        <v>619</v>
      </c>
      <c r="B154" s="36" t="s">
        <v>620</v>
      </c>
      <c r="C154" s="78"/>
      <c r="D154" s="78"/>
      <c r="E154" s="78"/>
      <c r="F154" s="78"/>
      <c r="G154" s="78"/>
      <c r="H154" s="78"/>
      <c r="I154" s="78">
        <v>5</v>
      </c>
      <c r="J154" s="78">
        <v>5</v>
      </c>
      <c r="K154" s="78">
        <v>8</v>
      </c>
      <c r="L154" s="78"/>
      <c r="M154" s="93"/>
    </row>
    <row r="155" spans="1:13" x14ac:dyDescent="0.25">
      <c r="A155" s="84" t="s">
        <v>621</v>
      </c>
      <c r="B155" s="36" t="s">
        <v>622</v>
      </c>
      <c r="C155" s="78"/>
      <c r="D155" s="78"/>
      <c r="E155" s="78"/>
      <c r="F155" s="78"/>
      <c r="G155" s="78">
        <v>3</v>
      </c>
      <c r="H155" s="78">
        <f>210-19+20+Lentelė2[[#This Row],[2017]]</f>
        <v>214</v>
      </c>
      <c r="I155" s="78">
        <f>41-11+28+Lentelė2[[#This Row],[2018]]</f>
        <v>272</v>
      </c>
      <c r="J155" s="78">
        <f>40+Lentelė2[[#This Row],[2019]]</f>
        <v>312</v>
      </c>
      <c r="K155" s="78">
        <f>Lentelė2[[#This Row],[2020]]</f>
        <v>312</v>
      </c>
      <c r="L155" s="78">
        <f>80+Lentelė2[[#This Row],[2021]]</f>
        <v>392</v>
      </c>
      <c r="M155" s="93"/>
    </row>
    <row r="156" spans="1:13" ht="39" x14ac:dyDescent="0.25">
      <c r="A156" s="85" t="s">
        <v>644</v>
      </c>
      <c r="B156" s="39" t="s">
        <v>645</v>
      </c>
      <c r="C156" s="78"/>
      <c r="D156" s="78"/>
      <c r="E156" s="78"/>
      <c r="F156" s="78"/>
      <c r="G156" s="78"/>
      <c r="H156" s="78"/>
      <c r="I156" s="78">
        <v>13</v>
      </c>
      <c r="J156" s="78">
        <v>58</v>
      </c>
      <c r="K156" s="78"/>
      <c r="L156" s="78"/>
      <c r="M156" s="93"/>
    </row>
    <row r="157" spans="1:13" ht="28.5" x14ac:dyDescent="0.25">
      <c r="A157" s="84" t="s">
        <v>623</v>
      </c>
      <c r="B157" s="36" t="s">
        <v>624</v>
      </c>
      <c r="C157" s="78"/>
      <c r="D157" s="78"/>
      <c r="E157" s="78"/>
      <c r="F157" s="78"/>
      <c r="G157" s="78"/>
      <c r="H157" s="78"/>
      <c r="I157" s="78">
        <f>129014-37866+34969</f>
        <v>126117</v>
      </c>
      <c r="J157" s="83">
        <f>143675.5-10265+12746-8440+19288.7-10206.5+17724-84826+84868-13198+44147-16740+77618+Lentelė2[[#This Row],[2019]]</f>
        <v>382508.7</v>
      </c>
      <c r="K157" s="83">
        <f>38026+Lentelė2[[#This Row],[2020]]</f>
        <v>420534.7</v>
      </c>
      <c r="L157" s="83">
        <f>3938+Lentelė2[[#This Row],[2021]]</f>
        <v>424472.7</v>
      </c>
      <c r="M157" s="93"/>
    </row>
    <row r="158" spans="1:13" ht="38.25" x14ac:dyDescent="0.25">
      <c r="A158" s="84" t="s">
        <v>625</v>
      </c>
      <c r="B158" s="36" t="s">
        <v>626</v>
      </c>
      <c r="C158" s="78"/>
      <c r="D158" s="78"/>
      <c r="E158" s="78"/>
      <c r="F158" s="78"/>
      <c r="G158" s="78"/>
      <c r="H158" s="78"/>
      <c r="I158" s="78"/>
      <c r="J158" s="78">
        <f>268.37+15</f>
        <v>283.37</v>
      </c>
      <c r="K158" s="78"/>
      <c r="L158" s="78"/>
      <c r="M158" s="93"/>
    </row>
    <row r="159" spans="1:13" ht="51" x14ac:dyDescent="0.25">
      <c r="A159" s="84" t="s">
        <v>627</v>
      </c>
      <c r="B159" s="36" t="s">
        <v>628</v>
      </c>
      <c r="C159" s="78"/>
      <c r="D159" s="79"/>
      <c r="E159" s="79"/>
      <c r="F159" s="79"/>
      <c r="G159" s="79"/>
      <c r="H159" s="79"/>
      <c r="I159" s="79"/>
      <c r="J159" s="79"/>
      <c r="K159" s="78"/>
      <c r="L159" s="78"/>
      <c r="M159" s="93"/>
    </row>
    <row r="160" spans="1:13" ht="39" x14ac:dyDescent="0.25">
      <c r="A160" s="85" t="s">
        <v>642</v>
      </c>
      <c r="B160" s="39" t="s">
        <v>643</v>
      </c>
      <c r="C160" s="78"/>
      <c r="D160" s="79"/>
      <c r="E160" s="79"/>
      <c r="F160" s="79"/>
      <c r="G160" s="79"/>
      <c r="H160" s="79"/>
      <c r="I160" s="79"/>
      <c r="J160" s="79">
        <v>7383</v>
      </c>
      <c r="K160" s="78">
        <f>4775+J160</f>
        <v>12158</v>
      </c>
      <c r="L160" s="78">
        <f>2388+K160</f>
        <v>14546</v>
      </c>
      <c r="M160" s="93"/>
    </row>
    <row r="161" spans="1:13" ht="38.25" x14ac:dyDescent="0.25">
      <c r="A161" s="84" t="s">
        <v>629</v>
      </c>
      <c r="B161" s="36" t="s">
        <v>630</v>
      </c>
      <c r="C161" s="78"/>
      <c r="D161" s="79"/>
      <c r="E161" s="79"/>
      <c r="F161" s="79"/>
      <c r="G161" s="79"/>
      <c r="H161" s="79">
        <v>0</v>
      </c>
      <c r="I161" s="79">
        <f>Lentelė2[[#This Row],[2018]]</f>
        <v>0</v>
      </c>
      <c r="J161" s="79">
        <v>0</v>
      </c>
      <c r="K161" s="78"/>
      <c r="L161" s="78"/>
      <c r="M161" s="93"/>
    </row>
    <row r="162" spans="1:13" ht="25.5" x14ac:dyDescent="0.25">
      <c r="A162" s="85" t="s">
        <v>682</v>
      </c>
      <c r="B162" s="37" t="s">
        <v>683</v>
      </c>
      <c r="C162" s="78"/>
      <c r="D162" s="79"/>
      <c r="E162" s="79"/>
      <c r="F162" s="79"/>
      <c r="G162" s="79"/>
      <c r="H162" s="79"/>
      <c r="I162" s="79">
        <v>180</v>
      </c>
      <c r="J162" s="79">
        <f>238-34+35+20+Lentelė2[[#This Row],[2019]]</f>
        <v>439</v>
      </c>
      <c r="K162" s="78"/>
      <c r="L162" s="78"/>
      <c r="M162" s="93"/>
    </row>
    <row r="163" spans="1:13" ht="36" x14ac:dyDescent="0.25">
      <c r="A163" s="84" t="s">
        <v>631</v>
      </c>
      <c r="B163" s="60" t="s">
        <v>632</v>
      </c>
      <c r="C163" s="78"/>
      <c r="D163" s="79"/>
      <c r="E163" s="79"/>
      <c r="F163" s="79"/>
      <c r="G163" s="79"/>
      <c r="H163" s="79">
        <v>2</v>
      </c>
      <c r="I163" s="79">
        <f>Lentelė2[[#This Row],[2018]]</f>
        <v>2</v>
      </c>
      <c r="J163" s="79">
        <f>6+Lentelė2[[#This Row],[2019]]</f>
        <v>8</v>
      </c>
      <c r="K163" s="79">
        <f>19+Lentelė2[[#This Row],[2020]]</f>
        <v>27</v>
      </c>
      <c r="L163" s="78"/>
      <c r="M163" s="93"/>
    </row>
    <row r="164" spans="1:13" ht="51" x14ac:dyDescent="0.25">
      <c r="A164" s="84" t="s">
        <v>633</v>
      </c>
      <c r="B164" s="36" t="s">
        <v>634</v>
      </c>
      <c r="C164" s="78"/>
      <c r="D164" s="79"/>
      <c r="E164" s="79"/>
      <c r="F164" s="79"/>
      <c r="G164" s="79"/>
      <c r="H164" s="79">
        <v>30</v>
      </c>
      <c r="I164" s="79">
        <f>Lentelė2[[#This Row],[2018]]</f>
        <v>30</v>
      </c>
      <c r="J164" s="79">
        <f>160+Lentelė2[[#This Row],[2019]]</f>
        <v>190</v>
      </c>
      <c r="K164" s="79">
        <f>23+Lentelė2[[#This Row],[2020]]</f>
        <v>213</v>
      </c>
      <c r="L164" s="78"/>
      <c r="M164" s="93"/>
    </row>
    <row r="165" spans="1:13" ht="25.5" x14ac:dyDescent="0.25">
      <c r="A165" s="84" t="s">
        <v>636</v>
      </c>
      <c r="B165" s="36" t="s">
        <v>637</v>
      </c>
      <c r="C165" s="78"/>
      <c r="D165" s="79"/>
      <c r="E165" s="79"/>
      <c r="F165" s="79"/>
      <c r="G165" s="79"/>
      <c r="H165" s="79">
        <v>141.01</v>
      </c>
      <c r="I165" s="79">
        <f>11.6+H165</f>
        <v>152.60999999999999</v>
      </c>
      <c r="J165" s="79">
        <f>9.83+I165</f>
        <v>162.44</v>
      </c>
      <c r="K165" s="78">
        <f>J165</f>
        <v>162.44</v>
      </c>
      <c r="L165" s="78">
        <f>K165</f>
        <v>162.44</v>
      </c>
      <c r="M165" s="93">
        <f>4.2+L165</f>
        <v>166.64</v>
      </c>
    </row>
    <row r="166" spans="1:13" ht="25.5" x14ac:dyDescent="0.25">
      <c r="A166" s="84" t="s">
        <v>638</v>
      </c>
      <c r="B166" s="36" t="s">
        <v>639</v>
      </c>
      <c r="C166" s="78"/>
      <c r="D166" s="79"/>
      <c r="E166" s="79"/>
      <c r="F166" s="79"/>
      <c r="G166" s="79"/>
      <c r="H166" s="79"/>
      <c r="I166" s="79">
        <v>229</v>
      </c>
      <c r="J166" s="79">
        <f>132+I166</f>
        <v>361</v>
      </c>
      <c r="K166" s="78">
        <f>131+J166</f>
        <v>492</v>
      </c>
      <c r="L166" s="78"/>
      <c r="M166" s="93"/>
    </row>
    <row r="167" spans="1:13" ht="25.5" x14ac:dyDescent="0.25">
      <c r="A167" s="85" t="s">
        <v>668</v>
      </c>
      <c r="B167" s="37" t="s">
        <v>669</v>
      </c>
      <c r="C167" s="78"/>
      <c r="D167" s="79"/>
      <c r="E167" s="79"/>
      <c r="F167" s="79"/>
      <c r="G167" s="79"/>
      <c r="H167" s="79"/>
      <c r="I167" s="79">
        <v>153</v>
      </c>
      <c r="J167" s="79">
        <f>92+I167</f>
        <v>245</v>
      </c>
      <c r="K167" s="78">
        <f>68+J167</f>
        <v>313</v>
      </c>
      <c r="L167" s="78"/>
      <c r="M167" s="93"/>
    </row>
    <row r="168" spans="1:13" ht="25.5" x14ac:dyDescent="0.25">
      <c r="A168" s="84" t="s">
        <v>635</v>
      </c>
      <c r="B168" s="36" t="s">
        <v>876</v>
      </c>
      <c r="C168" s="78"/>
      <c r="D168" s="79"/>
      <c r="E168" s="79"/>
      <c r="F168" s="79"/>
      <c r="G168" s="79"/>
      <c r="H168" s="79"/>
      <c r="I168" s="79"/>
      <c r="J168" s="79"/>
      <c r="K168" s="78"/>
      <c r="L168" s="78"/>
      <c r="M168" s="93"/>
    </row>
    <row r="169" spans="1:13" ht="38.25" x14ac:dyDescent="0.25">
      <c r="A169" s="85" t="s">
        <v>666</v>
      </c>
      <c r="B169" s="37" t="s">
        <v>667</v>
      </c>
      <c r="C169" s="78"/>
      <c r="D169" s="79"/>
      <c r="E169" s="79"/>
      <c r="F169" s="79"/>
      <c r="G169" s="79"/>
      <c r="H169" s="79"/>
      <c r="I169" s="79"/>
      <c r="J169" s="79"/>
      <c r="K169" s="78"/>
      <c r="L169" s="78"/>
      <c r="M169" s="93"/>
    </row>
    <row r="170" spans="1:13" ht="25.5" x14ac:dyDescent="0.25">
      <c r="A170" s="85" t="s">
        <v>703</v>
      </c>
      <c r="B170" s="37" t="s">
        <v>659</v>
      </c>
      <c r="C170" s="78"/>
      <c r="D170" s="79"/>
      <c r="E170" s="79"/>
      <c r="F170" s="79"/>
      <c r="G170" s="79"/>
      <c r="H170" s="79">
        <f>0.08+0.01</f>
        <v>0.09</v>
      </c>
      <c r="I170" s="79">
        <f>0.02+Lentelė2[[#This Row],[2018]]</f>
        <v>0.11</v>
      </c>
      <c r="J170" s="79">
        <f>0.5+0.0002433+Lentelė2[[#This Row],[2019]]</f>
        <v>0.61024329999999993</v>
      </c>
      <c r="K170" s="78"/>
      <c r="L170" s="78"/>
      <c r="M170" s="93"/>
    </row>
    <row r="171" spans="1:13" x14ac:dyDescent="0.25">
      <c r="A171" s="85" t="s">
        <v>877</v>
      </c>
      <c r="B171" s="37" t="s">
        <v>700</v>
      </c>
      <c r="C171" s="78"/>
      <c r="D171" s="79"/>
      <c r="E171" s="79"/>
      <c r="F171" s="79"/>
      <c r="G171" s="79">
        <v>1</v>
      </c>
      <c r="H171" s="79">
        <v>1</v>
      </c>
      <c r="I171" s="79">
        <v>1</v>
      </c>
      <c r="J171" s="79">
        <v>2</v>
      </c>
      <c r="K171" s="78"/>
      <c r="L171" s="78"/>
      <c r="M171" s="93"/>
    </row>
    <row r="172" spans="1:13" x14ac:dyDescent="0.25">
      <c r="A172" s="85" t="s">
        <v>878</v>
      </c>
      <c r="B172" s="37" t="s">
        <v>699</v>
      </c>
      <c r="C172" s="78"/>
      <c r="D172" s="79"/>
      <c r="E172" s="79"/>
      <c r="F172" s="79"/>
      <c r="G172" s="79"/>
      <c r="H172" s="79"/>
      <c r="I172" s="79"/>
      <c r="J172" s="79">
        <v>1</v>
      </c>
      <c r="K172" s="78"/>
      <c r="L172" s="78"/>
      <c r="M172" s="93"/>
    </row>
    <row r="173" spans="1:13" x14ac:dyDescent="0.25">
      <c r="A173" s="85" t="s">
        <v>879</v>
      </c>
      <c r="B173" s="37" t="s">
        <v>698</v>
      </c>
      <c r="C173" s="78"/>
      <c r="D173" s="79"/>
      <c r="E173" s="79"/>
      <c r="F173" s="79"/>
      <c r="G173" s="79"/>
      <c r="H173" s="79"/>
      <c r="I173" s="79"/>
      <c r="J173" s="79">
        <v>1</v>
      </c>
      <c r="K173" s="78"/>
      <c r="L173" s="78"/>
      <c r="M173" s="93"/>
    </row>
    <row r="174" spans="1:13" x14ac:dyDescent="0.25">
      <c r="A174" s="85" t="s">
        <v>880</v>
      </c>
      <c r="B174" s="37" t="s">
        <v>697</v>
      </c>
      <c r="C174" s="78"/>
      <c r="D174" s="79"/>
      <c r="E174" s="79"/>
      <c r="F174" s="79"/>
      <c r="G174" s="79"/>
      <c r="H174" s="79">
        <v>1</v>
      </c>
      <c r="I174" s="79"/>
      <c r="J174" s="79"/>
      <c r="K174" s="78"/>
      <c r="L174" s="78"/>
      <c r="M174" s="93"/>
    </row>
    <row r="175" spans="1:13" x14ac:dyDescent="0.25">
      <c r="A175" s="85" t="s">
        <v>881</v>
      </c>
      <c r="B175" s="37" t="s">
        <v>696</v>
      </c>
      <c r="C175" s="78"/>
      <c r="D175" s="79"/>
      <c r="E175" s="79"/>
      <c r="F175" s="79"/>
      <c r="G175" s="79"/>
      <c r="H175" s="79">
        <v>1</v>
      </c>
      <c r="I175" s="79"/>
      <c r="J175" s="79"/>
      <c r="K175" s="78"/>
      <c r="L175" s="78"/>
      <c r="M175" s="93"/>
    </row>
    <row r="176" spans="1:13" x14ac:dyDescent="0.25">
      <c r="A176" s="85" t="s">
        <v>882</v>
      </c>
      <c r="B176" s="37" t="s">
        <v>695</v>
      </c>
      <c r="C176" s="78"/>
      <c r="D176" s="79"/>
      <c r="E176" s="79"/>
      <c r="F176" s="79"/>
      <c r="G176" s="79">
        <v>1</v>
      </c>
      <c r="H176" s="79"/>
      <c r="I176" s="79"/>
      <c r="J176" s="79"/>
      <c r="K176" s="78"/>
      <c r="L176" s="78"/>
      <c r="M176" s="93"/>
    </row>
    <row r="177" spans="3:13" x14ac:dyDescent="0.25">
      <c r="C177" s="100"/>
      <c r="D177" s="100"/>
      <c r="E177" s="100"/>
      <c r="F177" s="100"/>
      <c r="G177" s="100"/>
      <c r="H177" s="100"/>
      <c r="I177" s="100"/>
      <c r="J177" s="100"/>
      <c r="K177" s="100"/>
      <c r="L177" s="100"/>
      <c r="M177" s="100"/>
    </row>
  </sheetData>
  <mergeCells count="5">
    <mergeCell ref="A6:J6"/>
    <mergeCell ref="K6:M6"/>
    <mergeCell ref="J1:M1"/>
    <mergeCell ref="J2:M2"/>
    <mergeCell ref="J3:M3"/>
  </mergeCells>
  <pageMargins left="0.7" right="0.7" top="0.75" bottom="0.75" header="0.3" footer="0.3"/>
  <pageSetup scale="77" fitToHeight="0"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276"/>
  <sheetViews>
    <sheetView topLeftCell="D1" workbookViewId="0">
      <selection activeCell="AF3" sqref="AF3:AF12"/>
    </sheetView>
  </sheetViews>
  <sheetFormatPr defaultRowHeight="15" x14ac:dyDescent="0.25"/>
  <sheetData>
    <row r="2" spans="2:32" x14ac:dyDescent="0.25">
      <c r="B2" s="71" t="s">
        <v>885</v>
      </c>
      <c r="C2" s="72" t="s">
        <v>886</v>
      </c>
      <c r="D2" s="73" t="s">
        <v>1410</v>
      </c>
      <c r="F2" s="71" t="s">
        <v>885</v>
      </c>
      <c r="G2" s="72" t="s">
        <v>886</v>
      </c>
      <c r="H2" s="73" t="s">
        <v>1410</v>
      </c>
      <c r="J2" s="71" t="s">
        <v>885</v>
      </c>
      <c r="K2" s="72" t="s">
        <v>886</v>
      </c>
      <c r="L2" s="73" t="s">
        <v>1410</v>
      </c>
      <c r="N2" s="71" t="s">
        <v>885</v>
      </c>
      <c r="O2" s="72" t="s">
        <v>886</v>
      </c>
      <c r="P2" s="73" t="s">
        <v>1410</v>
      </c>
      <c r="R2" s="71" t="s">
        <v>885</v>
      </c>
      <c r="S2" s="72" t="s">
        <v>886</v>
      </c>
      <c r="T2" s="73" t="s">
        <v>1410</v>
      </c>
      <c r="V2" s="71" t="s">
        <v>885</v>
      </c>
      <c r="W2" s="72" t="s">
        <v>886</v>
      </c>
      <c r="X2" s="73" t="s">
        <v>1410</v>
      </c>
      <c r="Z2" s="71" t="s">
        <v>885</v>
      </c>
      <c r="AA2" s="72" t="s">
        <v>886</v>
      </c>
      <c r="AB2" s="73" t="s">
        <v>1410</v>
      </c>
      <c r="AD2" s="71" t="s">
        <v>885</v>
      </c>
      <c r="AE2" s="72" t="s">
        <v>886</v>
      </c>
      <c r="AF2" s="73" t="s">
        <v>1410</v>
      </c>
    </row>
    <row r="3" spans="2:32" x14ac:dyDescent="0.25">
      <c r="B3" s="76">
        <v>2015</v>
      </c>
      <c r="C3" s="74" t="s">
        <v>563</v>
      </c>
      <c r="D3" s="70">
        <v>3073</v>
      </c>
      <c r="F3" s="76">
        <v>2017</v>
      </c>
      <c r="G3" s="74" t="s">
        <v>581</v>
      </c>
      <c r="H3" s="70">
        <v>1</v>
      </c>
      <c r="J3" s="76">
        <v>2018</v>
      </c>
      <c r="K3" s="74" t="s">
        <v>581</v>
      </c>
      <c r="L3" s="70">
        <v>1</v>
      </c>
      <c r="N3" s="76">
        <v>2019</v>
      </c>
      <c r="O3" s="74" t="s">
        <v>563</v>
      </c>
      <c r="P3" s="70">
        <v>5700</v>
      </c>
      <c r="R3" s="76">
        <v>2020</v>
      </c>
      <c r="S3" s="74" t="s">
        <v>561</v>
      </c>
      <c r="T3" s="70">
        <v>304000</v>
      </c>
      <c r="V3" s="76">
        <v>2021</v>
      </c>
      <c r="W3" s="74" t="s">
        <v>563</v>
      </c>
      <c r="X3" s="70">
        <v>646</v>
      </c>
      <c r="Z3" s="76">
        <v>2022</v>
      </c>
      <c r="AA3" s="74" t="s">
        <v>660</v>
      </c>
      <c r="AB3" s="70">
        <v>0.33</v>
      </c>
      <c r="AD3" s="76">
        <v>2023</v>
      </c>
      <c r="AE3" s="74" t="s">
        <v>561</v>
      </c>
      <c r="AF3" s="70">
        <v>29000</v>
      </c>
    </row>
    <row r="4" spans="2:32" x14ac:dyDescent="0.25">
      <c r="F4" s="77">
        <v>2017</v>
      </c>
      <c r="G4" s="75" t="s">
        <v>561</v>
      </c>
      <c r="H4" s="69">
        <v>15858</v>
      </c>
      <c r="J4" s="77">
        <v>2018</v>
      </c>
      <c r="K4" s="75" t="s">
        <v>581</v>
      </c>
      <c r="L4" s="69">
        <v>1</v>
      </c>
      <c r="N4" s="77">
        <v>2019</v>
      </c>
      <c r="O4" s="75" t="s">
        <v>581</v>
      </c>
      <c r="P4" s="69">
        <v>1</v>
      </c>
      <c r="R4" s="77">
        <v>2020</v>
      </c>
      <c r="S4" s="75" t="s">
        <v>581</v>
      </c>
      <c r="T4" s="69">
        <v>1</v>
      </c>
      <c r="V4" s="77">
        <v>2021</v>
      </c>
      <c r="W4" s="75" t="s">
        <v>561</v>
      </c>
      <c r="X4" s="69">
        <v>48650</v>
      </c>
      <c r="Z4" s="77">
        <v>2022</v>
      </c>
      <c r="AA4" s="75" t="s">
        <v>603</v>
      </c>
      <c r="AB4" s="69">
        <v>10</v>
      </c>
      <c r="AD4" s="77">
        <v>2023</v>
      </c>
      <c r="AE4" s="75" t="s">
        <v>563</v>
      </c>
      <c r="AF4" s="69">
        <v>494</v>
      </c>
    </row>
    <row r="5" spans="2:32" x14ac:dyDescent="0.25">
      <c r="F5" s="76">
        <v>2017</v>
      </c>
      <c r="G5" s="74" t="s">
        <v>871</v>
      </c>
      <c r="H5" s="70">
        <v>1</v>
      </c>
      <c r="J5" s="76">
        <v>2018</v>
      </c>
      <c r="K5" s="74" t="s">
        <v>581</v>
      </c>
      <c r="L5" s="70">
        <v>1</v>
      </c>
      <c r="N5" s="76">
        <v>2019</v>
      </c>
      <c r="O5" s="74" t="s">
        <v>561</v>
      </c>
      <c r="P5" s="70">
        <v>141600</v>
      </c>
      <c r="R5" s="76">
        <v>2020</v>
      </c>
      <c r="S5" s="74" t="s">
        <v>561</v>
      </c>
      <c r="T5" s="70">
        <v>8821.7199999999993</v>
      </c>
      <c r="V5" s="76">
        <v>2021</v>
      </c>
      <c r="W5" s="74" t="s">
        <v>617</v>
      </c>
      <c r="X5" s="70">
        <v>1</v>
      </c>
      <c r="Z5" s="76">
        <v>2022</v>
      </c>
      <c r="AA5" s="74" t="s">
        <v>603</v>
      </c>
      <c r="AB5" s="70">
        <v>1</v>
      </c>
      <c r="AD5" s="76">
        <v>2023</v>
      </c>
      <c r="AE5" s="74" t="s">
        <v>561</v>
      </c>
      <c r="AF5" s="70">
        <v>20000</v>
      </c>
    </row>
    <row r="6" spans="2:32" x14ac:dyDescent="0.25">
      <c r="F6" s="77">
        <v>2017</v>
      </c>
      <c r="G6" s="75" t="s">
        <v>871</v>
      </c>
      <c r="H6" s="69">
        <v>1</v>
      </c>
      <c r="J6" s="77">
        <v>2018</v>
      </c>
      <c r="K6" s="75" t="s">
        <v>561</v>
      </c>
      <c r="L6" s="69">
        <v>45254.62</v>
      </c>
      <c r="N6" s="77">
        <v>2019</v>
      </c>
      <c r="O6" s="75" t="s">
        <v>561</v>
      </c>
      <c r="P6" s="69">
        <v>10015</v>
      </c>
      <c r="R6" s="77">
        <v>2020</v>
      </c>
      <c r="S6" s="75" t="s">
        <v>561</v>
      </c>
      <c r="T6" s="69">
        <v>509851.88</v>
      </c>
      <c r="V6" s="77">
        <v>2021</v>
      </c>
      <c r="W6" s="75" t="s">
        <v>557</v>
      </c>
      <c r="X6" s="69">
        <v>2.089</v>
      </c>
      <c r="Z6" s="77">
        <v>2022</v>
      </c>
      <c r="AA6" s="75" t="s">
        <v>621</v>
      </c>
      <c r="AB6" s="69">
        <v>80</v>
      </c>
      <c r="AD6" s="77">
        <v>2023</v>
      </c>
      <c r="AE6" s="75" t="s">
        <v>561</v>
      </c>
      <c r="AF6" s="69">
        <v>19419</v>
      </c>
    </row>
    <row r="7" spans="2:32" x14ac:dyDescent="0.25">
      <c r="F7" s="76">
        <v>2017</v>
      </c>
      <c r="G7" s="74" t="s">
        <v>877</v>
      </c>
      <c r="H7" s="70">
        <v>1</v>
      </c>
      <c r="J7" s="76">
        <v>2018</v>
      </c>
      <c r="K7" s="74" t="s">
        <v>561</v>
      </c>
      <c r="L7" s="70">
        <v>29432</v>
      </c>
      <c r="N7" s="76">
        <v>2019</v>
      </c>
      <c r="O7" s="74" t="s">
        <v>557</v>
      </c>
      <c r="P7" s="70">
        <v>0.65</v>
      </c>
      <c r="R7" s="76">
        <v>2020</v>
      </c>
      <c r="S7" s="74" t="s">
        <v>561</v>
      </c>
      <c r="T7" s="70">
        <v>35000</v>
      </c>
      <c r="V7" s="76">
        <v>2021</v>
      </c>
      <c r="W7" s="74" t="s">
        <v>603</v>
      </c>
      <c r="X7" s="70">
        <v>1</v>
      </c>
      <c r="Z7" s="76">
        <v>2022</v>
      </c>
      <c r="AA7" s="74" t="s">
        <v>642</v>
      </c>
      <c r="AB7" s="70">
        <v>800</v>
      </c>
      <c r="AD7" s="76">
        <v>2023</v>
      </c>
      <c r="AE7" s="74" t="s">
        <v>617</v>
      </c>
      <c r="AF7" s="70">
        <v>1</v>
      </c>
    </row>
    <row r="8" spans="2:32" x14ac:dyDescent="0.25">
      <c r="F8" s="77">
        <v>2017</v>
      </c>
      <c r="G8" s="75" t="s">
        <v>882</v>
      </c>
      <c r="H8" s="69">
        <v>1</v>
      </c>
      <c r="J8" s="77">
        <v>2018</v>
      </c>
      <c r="K8" s="75" t="s">
        <v>561</v>
      </c>
      <c r="L8" s="69">
        <v>2025</v>
      </c>
      <c r="N8" s="77">
        <v>2019</v>
      </c>
      <c r="O8" s="75" t="s">
        <v>557</v>
      </c>
      <c r="P8" s="69">
        <v>1.2858000000000001</v>
      </c>
      <c r="R8" s="77">
        <v>2020</v>
      </c>
      <c r="S8" s="75" t="s">
        <v>561</v>
      </c>
      <c r="T8" s="69">
        <v>15200</v>
      </c>
      <c r="V8" s="77">
        <v>2021</v>
      </c>
      <c r="W8" s="75" t="s">
        <v>605</v>
      </c>
      <c r="X8" s="69">
        <v>4</v>
      </c>
      <c r="Z8" s="77">
        <v>2022</v>
      </c>
      <c r="AA8" s="75" t="s">
        <v>642</v>
      </c>
      <c r="AB8" s="69">
        <v>1588</v>
      </c>
      <c r="AD8" s="77">
        <v>2023</v>
      </c>
      <c r="AE8" s="75" t="s">
        <v>660</v>
      </c>
      <c r="AF8" s="69">
        <v>0.02</v>
      </c>
    </row>
    <row r="9" spans="2:32" x14ac:dyDescent="0.25">
      <c r="F9" s="76">
        <v>2017</v>
      </c>
      <c r="G9" s="74" t="s">
        <v>621</v>
      </c>
      <c r="H9" s="70">
        <v>3</v>
      </c>
      <c r="J9" s="76">
        <v>2018</v>
      </c>
      <c r="K9" s="74" t="s">
        <v>561</v>
      </c>
      <c r="L9" s="70">
        <v>10246.01</v>
      </c>
      <c r="N9" s="76">
        <v>2019</v>
      </c>
      <c r="O9" s="74" t="s">
        <v>557</v>
      </c>
      <c r="P9" s="70">
        <v>0.61399999999999999</v>
      </c>
      <c r="R9" s="76">
        <v>2020</v>
      </c>
      <c r="S9" s="74" t="s">
        <v>563</v>
      </c>
      <c r="T9" s="70">
        <v>147</v>
      </c>
      <c r="V9" s="76">
        <v>2021</v>
      </c>
      <c r="W9" s="74" t="s">
        <v>561</v>
      </c>
      <c r="X9" s="70">
        <v>264275</v>
      </c>
      <c r="Z9" s="76">
        <v>2022</v>
      </c>
      <c r="AA9" s="74" t="s">
        <v>589</v>
      </c>
      <c r="AB9" s="70">
        <v>26</v>
      </c>
      <c r="AD9" s="76">
        <v>2023</v>
      </c>
      <c r="AE9" s="74" t="s">
        <v>636</v>
      </c>
      <c r="AF9" s="70">
        <v>4.2</v>
      </c>
    </row>
    <row r="10" spans="2:32" x14ac:dyDescent="0.25">
      <c r="F10" s="77">
        <v>2017</v>
      </c>
      <c r="G10" s="75" t="s">
        <v>581</v>
      </c>
      <c r="H10" s="69">
        <v>1</v>
      </c>
      <c r="J10" s="77">
        <v>2018</v>
      </c>
      <c r="K10" s="75" t="s">
        <v>561</v>
      </c>
      <c r="L10" s="69">
        <v>58156</v>
      </c>
      <c r="N10" s="77">
        <v>2019</v>
      </c>
      <c r="O10" s="75" t="s">
        <v>660</v>
      </c>
      <c r="P10" s="69">
        <v>0.5</v>
      </c>
      <c r="R10" s="77">
        <v>2020</v>
      </c>
      <c r="S10" s="75" t="s">
        <v>561</v>
      </c>
      <c r="T10" s="69">
        <v>68477</v>
      </c>
      <c r="V10" s="77">
        <v>2021</v>
      </c>
      <c r="W10" s="75" t="s">
        <v>662</v>
      </c>
      <c r="X10" s="69">
        <v>614</v>
      </c>
      <c r="Z10" s="77">
        <v>2022</v>
      </c>
      <c r="AA10" s="75" t="s">
        <v>589</v>
      </c>
      <c r="AB10" s="69">
        <v>26</v>
      </c>
      <c r="AD10" s="77">
        <v>2023</v>
      </c>
      <c r="AE10" s="75" t="s">
        <v>561</v>
      </c>
      <c r="AF10" s="69">
        <v>702</v>
      </c>
    </row>
    <row r="11" spans="2:32" x14ac:dyDescent="0.25">
      <c r="F11" s="76">
        <v>2017</v>
      </c>
      <c r="G11" s="74" t="s">
        <v>567</v>
      </c>
      <c r="H11" s="70">
        <v>131</v>
      </c>
      <c r="J11" s="76">
        <v>2018</v>
      </c>
      <c r="K11" s="74" t="s">
        <v>561</v>
      </c>
      <c r="L11" s="70">
        <v>40001</v>
      </c>
      <c r="N11" s="76">
        <v>2019</v>
      </c>
      <c r="O11" s="74" t="s">
        <v>557</v>
      </c>
      <c r="P11" s="70">
        <v>0.19650000000000001</v>
      </c>
      <c r="R11" s="76">
        <v>2020</v>
      </c>
      <c r="S11" s="74" t="s">
        <v>561</v>
      </c>
      <c r="T11" s="70">
        <v>56350</v>
      </c>
      <c r="V11" s="76">
        <v>2021</v>
      </c>
      <c r="W11" s="74" t="s">
        <v>654</v>
      </c>
      <c r="X11" s="70">
        <v>250</v>
      </c>
      <c r="Z11" s="76">
        <v>2022</v>
      </c>
      <c r="AA11" s="74" t="s">
        <v>589</v>
      </c>
      <c r="AB11" s="70">
        <v>44</v>
      </c>
      <c r="AD11" s="76">
        <v>2023</v>
      </c>
      <c r="AE11" s="74" t="s">
        <v>563</v>
      </c>
      <c r="AF11" s="70">
        <v>16</v>
      </c>
    </row>
    <row r="12" spans="2:32" x14ac:dyDescent="0.25">
      <c r="F12" s="77">
        <v>2017</v>
      </c>
      <c r="G12" s="75" t="s">
        <v>571</v>
      </c>
      <c r="H12" s="69">
        <v>478</v>
      </c>
      <c r="J12" s="77">
        <v>2018</v>
      </c>
      <c r="K12" s="75" t="s">
        <v>557</v>
      </c>
      <c r="L12" s="69">
        <v>2.903</v>
      </c>
      <c r="N12" s="77">
        <v>2019</v>
      </c>
      <c r="O12" s="75" t="s">
        <v>557</v>
      </c>
      <c r="P12" s="69">
        <v>0.3</v>
      </c>
      <c r="R12" s="77">
        <v>2020</v>
      </c>
      <c r="S12" s="75" t="s">
        <v>557</v>
      </c>
      <c r="T12" s="69">
        <v>3.69</v>
      </c>
      <c r="V12" s="77">
        <v>2021</v>
      </c>
      <c r="W12" s="75" t="s">
        <v>631</v>
      </c>
      <c r="X12" s="69">
        <v>19</v>
      </c>
      <c r="Z12" s="77">
        <v>2022</v>
      </c>
      <c r="AA12" s="75" t="s">
        <v>589</v>
      </c>
      <c r="AB12" s="69">
        <v>61</v>
      </c>
      <c r="AD12" s="77">
        <v>2023</v>
      </c>
      <c r="AE12" s="75" t="s">
        <v>615</v>
      </c>
      <c r="AF12" s="69">
        <v>1</v>
      </c>
    </row>
    <row r="13" spans="2:32" x14ac:dyDescent="0.25">
      <c r="F13" s="76">
        <v>2017</v>
      </c>
      <c r="G13" s="74" t="s">
        <v>611</v>
      </c>
      <c r="H13" s="70">
        <v>0.65</v>
      </c>
      <c r="J13" s="76">
        <v>2018</v>
      </c>
      <c r="K13" s="74" t="s">
        <v>557</v>
      </c>
      <c r="L13" s="70">
        <v>0.40400000000000003</v>
      </c>
      <c r="N13" s="76">
        <v>2019</v>
      </c>
      <c r="O13" s="74" t="s">
        <v>603</v>
      </c>
      <c r="P13" s="70">
        <v>3</v>
      </c>
      <c r="R13" s="76">
        <v>2020</v>
      </c>
      <c r="S13" s="74" t="s">
        <v>603</v>
      </c>
      <c r="T13" s="70">
        <v>2</v>
      </c>
      <c r="V13" s="76">
        <v>2021</v>
      </c>
      <c r="W13" s="74" t="s">
        <v>619</v>
      </c>
      <c r="X13" s="70">
        <v>1</v>
      </c>
      <c r="Z13" s="76">
        <v>2022</v>
      </c>
      <c r="AA13" s="74" t="s">
        <v>589</v>
      </c>
      <c r="AB13" s="70">
        <v>177</v>
      </c>
    </row>
    <row r="14" spans="2:32" x14ac:dyDescent="0.25">
      <c r="J14" s="77">
        <v>2018</v>
      </c>
      <c r="K14" s="75" t="s">
        <v>617</v>
      </c>
      <c r="L14" s="69">
        <v>1</v>
      </c>
      <c r="N14" s="77">
        <v>2019</v>
      </c>
      <c r="O14" s="75" t="s">
        <v>613</v>
      </c>
      <c r="P14" s="69">
        <v>1</v>
      </c>
      <c r="R14" s="77">
        <v>2020</v>
      </c>
      <c r="S14" s="75" t="s">
        <v>557</v>
      </c>
      <c r="T14" s="69">
        <v>0.29499999999999998</v>
      </c>
      <c r="V14" s="77">
        <v>2021</v>
      </c>
      <c r="W14" s="75" t="s">
        <v>619</v>
      </c>
      <c r="X14" s="69">
        <v>1</v>
      </c>
      <c r="Z14" s="77">
        <v>2022</v>
      </c>
      <c r="AA14" s="75" t="s">
        <v>589</v>
      </c>
      <c r="AB14" s="69">
        <v>54</v>
      </c>
    </row>
    <row r="15" spans="2:32" x14ac:dyDescent="0.25">
      <c r="J15" s="76">
        <v>2018</v>
      </c>
      <c r="K15" s="74" t="s">
        <v>617</v>
      </c>
      <c r="L15" s="70">
        <v>1</v>
      </c>
      <c r="N15" s="76">
        <v>2019</v>
      </c>
      <c r="O15" s="74" t="s">
        <v>874</v>
      </c>
      <c r="P15" s="70">
        <v>1</v>
      </c>
      <c r="R15" s="76">
        <v>2020</v>
      </c>
      <c r="S15" s="74" t="s">
        <v>557</v>
      </c>
      <c r="T15" s="70">
        <v>9.6349999999999998</v>
      </c>
      <c r="V15" s="76">
        <v>2021</v>
      </c>
      <c r="W15" s="74" t="s">
        <v>619</v>
      </c>
      <c r="X15" s="70">
        <v>1</v>
      </c>
      <c r="Z15" s="76">
        <v>2022</v>
      </c>
      <c r="AA15" s="74" t="s">
        <v>623</v>
      </c>
      <c r="AB15" s="70">
        <v>3938</v>
      </c>
    </row>
    <row r="16" spans="2:32" x14ac:dyDescent="0.25">
      <c r="J16" s="77">
        <v>2018</v>
      </c>
      <c r="K16" s="75" t="s">
        <v>617</v>
      </c>
      <c r="L16" s="69">
        <v>1</v>
      </c>
      <c r="N16" s="77">
        <v>2019</v>
      </c>
      <c r="O16" s="75" t="s">
        <v>613</v>
      </c>
      <c r="P16" s="69">
        <v>1</v>
      </c>
      <c r="R16" s="77">
        <v>2020</v>
      </c>
      <c r="S16" s="75" t="s">
        <v>557</v>
      </c>
      <c r="T16" s="69">
        <v>0.49</v>
      </c>
      <c r="V16" s="77">
        <v>2021</v>
      </c>
      <c r="W16" s="75" t="s">
        <v>642</v>
      </c>
      <c r="X16" s="69">
        <v>1000</v>
      </c>
    </row>
    <row r="17" spans="10:24" x14ac:dyDescent="0.25">
      <c r="J17" s="76">
        <v>2018</v>
      </c>
      <c r="K17" s="74" t="s">
        <v>871</v>
      </c>
      <c r="L17" s="70">
        <v>1</v>
      </c>
      <c r="N17" s="76">
        <v>2019</v>
      </c>
      <c r="O17" s="74" t="s">
        <v>613</v>
      </c>
      <c r="P17" s="70">
        <v>1</v>
      </c>
      <c r="R17" s="76">
        <v>2020</v>
      </c>
      <c r="S17" s="74" t="s">
        <v>617</v>
      </c>
      <c r="T17" s="70">
        <v>4</v>
      </c>
      <c r="V17" s="76">
        <v>2021</v>
      </c>
      <c r="W17" s="74" t="s">
        <v>642</v>
      </c>
      <c r="X17" s="70">
        <v>2500</v>
      </c>
    </row>
    <row r="18" spans="10:24" x14ac:dyDescent="0.25">
      <c r="J18" s="77">
        <v>2018</v>
      </c>
      <c r="K18" s="75" t="s">
        <v>599</v>
      </c>
      <c r="L18" s="69">
        <v>1</v>
      </c>
      <c r="N18" s="77">
        <v>2019</v>
      </c>
      <c r="O18" s="75" t="s">
        <v>581</v>
      </c>
      <c r="P18" s="69">
        <v>1</v>
      </c>
      <c r="R18" s="77">
        <v>2020</v>
      </c>
      <c r="S18" s="75" t="s">
        <v>557</v>
      </c>
      <c r="T18" s="69">
        <v>0.68799999999999994</v>
      </c>
      <c r="V18" s="77">
        <v>2021</v>
      </c>
      <c r="W18" s="75" t="s">
        <v>642</v>
      </c>
      <c r="X18" s="69">
        <v>1275</v>
      </c>
    </row>
    <row r="19" spans="10:24" x14ac:dyDescent="0.25">
      <c r="J19" s="76">
        <v>2018</v>
      </c>
      <c r="K19" s="74" t="s">
        <v>599</v>
      </c>
      <c r="L19" s="70">
        <v>4.26</v>
      </c>
      <c r="N19" s="76">
        <v>2019</v>
      </c>
      <c r="O19" s="74" t="s">
        <v>561</v>
      </c>
      <c r="P19" s="70">
        <v>10000</v>
      </c>
      <c r="R19" s="76">
        <v>2020</v>
      </c>
      <c r="S19" s="74" t="s">
        <v>557</v>
      </c>
      <c r="T19" s="70">
        <v>1.159</v>
      </c>
      <c r="V19" s="76">
        <v>2021</v>
      </c>
      <c r="W19" s="74" t="s">
        <v>589</v>
      </c>
      <c r="X19" s="70">
        <v>66</v>
      </c>
    </row>
    <row r="20" spans="10:24" x14ac:dyDescent="0.25">
      <c r="J20" s="77">
        <v>2018</v>
      </c>
      <c r="K20" s="75" t="s">
        <v>599</v>
      </c>
      <c r="L20" s="69">
        <v>6.14</v>
      </c>
      <c r="N20" s="77">
        <v>2019</v>
      </c>
      <c r="O20" s="75" t="s">
        <v>561</v>
      </c>
      <c r="P20" s="69">
        <v>10000</v>
      </c>
      <c r="R20" s="77">
        <v>2020</v>
      </c>
      <c r="S20" s="75" t="s">
        <v>617</v>
      </c>
      <c r="T20" s="69">
        <v>1</v>
      </c>
      <c r="V20" s="77">
        <v>2021</v>
      </c>
      <c r="W20" s="75" t="s">
        <v>623</v>
      </c>
      <c r="X20" s="69">
        <v>40000</v>
      </c>
    </row>
    <row r="21" spans="10:24" x14ac:dyDescent="0.25">
      <c r="J21" s="76">
        <v>2018</v>
      </c>
      <c r="K21" s="74" t="s">
        <v>581</v>
      </c>
      <c r="L21" s="70">
        <v>1</v>
      </c>
      <c r="N21" s="76">
        <v>2019</v>
      </c>
      <c r="O21" s="74" t="s">
        <v>555</v>
      </c>
      <c r="P21" s="70">
        <v>200</v>
      </c>
      <c r="R21" s="76">
        <v>2020</v>
      </c>
      <c r="S21" s="74" t="s">
        <v>557</v>
      </c>
      <c r="T21" s="70">
        <v>0.15</v>
      </c>
      <c r="V21" s="76">
        <v>2021</v>
      </c>
      <c r="W21" s="74" t="s">
        <v>573</v>
      </c>
      <c r="X21" s="70">
        <v>3200</v>
      </c>
    </row>
    <row r="22" spans="10:24" x14ac:dyDescent="0.25">
      <c r="J22" s="77">
        <v>2018</v>
      </c>
      <c r="K22" s="75" t="s">
        <v>561</v>
      </c>
      <c r="L22" s="69">
        <v>12000</v>
      </c>
      <c r="N22" s="77">
        <v>2019</v>
      </c>
      <c r="O22" s="75" t="s">
        <v>701</v>
      </c>
      <c r="P22" s="69">
        <v>2000</v>
      </c>
      <c r="R22" s="77">
        <v>2020</v>
      </c>
      <c r="S22" s="75" t="s">
        <v>617</v>
      </c>
      <c r="T22" s="69">
        <v>1</v>
      </c>
      <c r="V22" s="77">
        <v>2021</v>
      </c>
      <c r="W22" s="75" t="s">
        <v>567</v>
      </c>
      <c r="X22" s="69">
        <v>323</v>
      </c>
    </row>
    <row r="23" spans="10:24" x14ac:dyDescent="0.25">
      <c r="J23" s="76">
        <v>2018</v>
      </c>
      <c r="K23" s="74" t="s">
        <v>880</v>
      </c>
      <c r="L23" s="70">
        <v>1</v>
      </c>
      <c r="N23" s="76">
        <v>2019</v>
      </c>
      <c r="O23" s="74" t="s">
        <v>702</v>
      </c>
      <c r="P23" s="70">
        <v>1</v>
      </c>
      <c r="R23" s="76">
        <v>2020</v>
      </c>
      <c r="S23" s="74" t="s">
        <v>557</v>
      </c>
      <c r="T23" s="70">
        <v>0.1</v>
      </c>
      <c r="V23" s="76">
        <v>2021</v>
      </c>
      <c r="W23" s="74" t="s">
        <v>569</v>
      </c>
      <c r="X23" s="70">
        <v>7452</v>
      </c>
    </row>
    <row r="24" spans="10:24" x14ac:dyDescent="0.25">
      <c r="J24" s="77">
        <v>2018</v>
      </c>
      <c r="K24" s="75" t="s">
        <v>881</v>
      </c>
      <c r="L24" s="69">
        <v>1</v>
      </c>
      <c r="N24" s="77">
        <v>2019</v>
      </c>
      <c r="O24" s="75" t="s">
        <v>563</v>
      </c>
      <c r="P24" s="69">
        <v>5100</v>
      </c>
      <c r="R24" s="77">
        <v>2020</v>
      </c>
      <c r="S24" s="75" t="s">
        <v>599</v>
      </c>
      <c r="T24" s="69">
        <v>0.23</v>
      </c>
      <c r="V24" s="77">
        <v>2021</v>
      </c>
      <c r="W24" s="75" t="s">
        <v>569</v>
      </c>
      <c r="X24" s="69">
        <v>400</v>
      </c>
    </row>
    <row r="25" spans="10:24" x14ac:dyDescent="0.25">
      <c r="J25" s="76">
        <v>2018</v>
      </c>
      <c r="K25" s="74" t="s">
        <v>631</v>
      </c>
      <c r="L25" s="70">
        <v>2</v>
      </c>
      <c r="N25" s="76">
        <v>2019</v>
      </c>
      <c r="O25" s="74" t="s">
        <v>561</v>
      </c>
      <c r="P25" s="70">
        <v>117000</v>
      </c>
      <c r="R25" s="76">
        <v>2020</v>
      </c>
      <c r="S25" s="74" t="s">
        <v>601</v>
      </c>
      <c r="T25" s="70">
        <v>1.1100000000000001</v>
      </c>
      <c r="V25" s="76">
        <v>2021</v>
      </c>
      <c r="W25" s="74" t="s">
        <v>573</v>
      </c>
      <c r="X25" s="70">
        <v>400</v>
      </c>
    </row>
    <row r="26" spans="10:24" x14ac:dyDescent="0.25">
      <c r="J26" s="77">
        <v>2018</v>
      </c>
      <c r="K26" s="75" t="s">
        <v>629</v>
      </c>
      <c r="L26" s="69">
        <v>1</v>
      </c>
      <c r="N26" s="77">
        <v>2019</v>
      </c>
      <c r="O26" s="75" t="s">
        <v>662</v>
      </c>
      <c r="P26" s="69">
        <v>274</v>
      </c>
      <c r="R26" s="77">
        <v>2020</v>
      </c>
      <c r="S26" s="75" t="s">
        <v>601</v>
      </c>
      <c r="T26" s="69">
        <v>0.7</v>
      </c>
      <c r="V26" s="77">
        <v>2021</v>
      </c>
      <c r="W26" s="75" t="s">
        <v>557</v>
      </c>
      <c r="X26" s="69">
        <v>1.1000000000000001</v>
      </c>
    </row>
    <row r="27" spans="10:24" x14ac:dyDescent="0.25">
      <c r="J27" s="76">
        <v>2018</v>
      </c>
      <c r="K27" s="74" t="s">
        <v>629</v>
      </c>
      <c r="L27" s="70">
        <v>1</v>
      </c>
      <c r="N27" s="76">
        <v>2019</v>
      </c>
      <c r="O27" s="74" t="s">
        <v>593</v>
      </c>
      <c r="P27" s="70">
        <v>1</v>
      </c>
      <c r="R27" s="76">
        <v>2020</v>
      </c>
      <c r="S27" s="74" t="s">
        <v>599</v>
      </c>
      <c r="T27" s="70">
        <v>2.87</v>
      </c>
      <c r="V27" s="76">
        <v>2021</v>
      </c>
      <c r="W27" s="74" t="s">
        <v>694</v>
      </c>
      <c r="X27" s="70">
        <v>1</v>
      </c>
    </row>
    <row r="28" spans="10:24" x14ac:dyDescent="0.25">
      <c r="J28" s="77">
        <v>2018</v>
      </c>
      <c r="K28" s="75" t="s">
        <v>621</v>
      </c>
      <c r="L28" s="69">
        <v>19</v>
      </c>
      <c r="N28" s="77">
        <v>2019</v>
      </c>
      <c r="O28" s="75" t="s">
        <v>654</v>
      </c>
      <c r="P28" s="69">
        <v>762</v>
      </c>
      <c r="R28" s="77">
        <v>2020</v>
      </c>
      <c r="S28" s="75" t="s">
        <v>599</v>
      </c>
      <c r="T28" s="69">
        <v>0.4</v>
      </c>
      <c r="V28" s="77">
        <v>2021</v>
      </c>
      <c r="W28" s="75" t="s">
        <v>633</v>
      </c>
      <c r="X28" s="69">
        <v>23</v>
      </c>
    </row>
    <row r="29" spans="10:24" x14ac:dyDescent="0.25">
      <c r="J29" s="76">
        <v>2018</v>
      </c>
      <c r="K29" s="74" t="s">
        <v>621</v>
      </c>
      <c r="L29" s="70">
        <v>18</v>
      </c>
      <c r="N29" s="76">
        <v>2019</v>
      </c>
      <c r="O29" s="74" t="s">
        <v>682</v>
      </c>
      <c r="P29" s="70">
        <v>16</v>
      </c>
      <c r="R29" s="76">
        <v>2020</v>
      </c>
      <c r="S29" s="74" t="s">
        <v>599</v>
      </c>
      <c r="T29" s="70">
        <v>1.67</v>
      </c>
      <c r="V29" s="76">
        <v>2021</v>
      </c>
      <c r="W29" s="74" t="s">
        <v>638</v>
      </c>
      <c r="X29" s="70">
        <v>31</v>
      </c>
    </row>
    <row r="30" spans="10:24" x14ac:dyDescent="0.25">
      <c r="J30" s="77">
        <v>2018</v>
      </c>
      <c r="K30" s="75" t="s">
        <v>621</v>
      </c>
      <c r="L30" s="69">
        <v>173</v>
      </c>
      <c r="N30" s="77">
        <v>2019</v>
      </c>
      <c r="O30" s="75" t="s">
        <v>682</v>
      </c>
      <c r="P30" s="69">
        <v>35</v>
      </c>
      <c r="R30" s="77">
        <v>2020</v>
      </c>
      <c r="S30" s="75" t="s">
        <v>599</v>
      </c>
      <c r="T30" s="69">
        <v>1.9259999999999999</v>
      </c>
      <c r="V30" s="77">
        <v>2021</v>
      </c>
      <c r="W30" s="75" t="s">
        <v>638</v>
      </c>
      <c r="X30" s="69">
        <v>40</v>
      </c>
    </row>
    <row r="31" spans="10:24" x14ac:dyDescent="0.25">
      <c r="J31" s="76">
        <v>2018</v>
      </c>
      <c r="K31" s="74" t="s">
        <v>581</v>
      </c>
      <c r="L31" s="70">
        <v>1</v>
      </c>
      <c r="N31" s="76">
        <v>2019</v>
      </c>
      <c r="O31" s="74" t="s">
        <v>591</v>
      </c>
      <c r="P31" s="70">
        <v>1</v>
      </c>
      <c r="R31" s="76">
        <v>2020</v>
      </c>
      <c r="S31" s="74" t="s">
        <v>605</v>
      </c>
      <c r="T31" s="70">
        <v>2</v>
      </c>
      <c r="V31" s="76">
        <v>2021</v>
      </c>
      <c r="W31" s="74" t="s">
        <v>638</v>
      </c>
      <c r="X31" s="70">
        <v>60</v>
      </c>
    </row>
    <row r="32" spans="10:24" x14ac:dyDescent="0.25">
      <c r="J32" s="77">
        <v>2018</v>
      </c>
      <c r="K32" s="75" t="s">
        <v>883</v>
      </c>
      <c r="L32" s="69">
        <v>1</v>
      </c>
      <c r="N32" s="77">
        <v>2019</v>
      </c>
      <c r="O32" s="75" t="s">
        <v>591</v>
      </c>
      <c r="P32" s="69">
        <v>1</v>
      </c>
      <c r="R32" s="77">
        <v>2020</v>
      </c>
      <c r="S32" s="75" t="s">
        <v>555</v>
      </c>
      <c r="T32" s="69">
        <v>350</v>
      </c>
      <c r="V32" s="77">
        <v>2021</v>
      </c>
      <c r="W32" s="75" t="s">
        <v>571</v>
      </c>
      <c r="X32" s="69">
        <v>416</v>
      </c>
    </row>
    <row r="33" spans="10:24" x14ac:dyDescent="0.25">
      <c r="J33" s="76">
        <v>2018</v>
      </c>
      <c r="K33" s="74" t="s">
        <v>693</v>
      </c>
      <c r="L33" s="70">
        <v>1</v>
      </c>
      <c r="N33" s="76">
        <v>2019</v>
      </c>
      <c r="O33" s="74" t="s">
        <v>591</v>
      </c>
      <c r="P33" s="70">
        <v>1</v>
      </c>
      <c r="R33" s="76">
        <v>2020</v>
      </c>
      <c r="S33" s="74" t="s">
        <v>561</v>
      </c>
      <c r="T33" s="70">
        <v>34500</v>
      </c>
      <c r="V33" s="76">
        <v>2021</v>
      </c>
      <c r="W33" s="74" t="s">
        <v>664</v>
      </c>
      <c r="X33" s="70">
        <v>1</v>
      </c>
    </row>
    <row r="34" spans="10:24" x14ac:dyDescent="0.25">
      <c r="J34" s="77">
        <v>2018</v>
      </c>
      <c r="K34" s="75" t="s">
        <v>867</v>
      </c>
      <c r="L34" s="69">
        <v>240</v>
      </c>
      <c r="N34" s="77">
        <v>2019</v>
      </c>
      <c r="O34" s="75" t="s">
        <v>883</v>
      </c>
      <c r="P34" s="69">
        <v>1</v>
      </c>
      <c r="R34" s="77">
        <v>2020</v>
      </c>
      <c r="S34" s="75" t="s">
        <v>662</v>
      </c>
      <c r="T34" s="69">
        <v>369</v>
      </c>
      <c r="V34" s="77">
        <v>2021</v>
      </c>
      <c r="W34" s="75" t="s">
        <v>668</v>
      </c>
      <c r="X34" s="69">
        <v>23</v>
      </c>
    </row>
    <row r="35" spans="10:24" x14ac:dyDescent="0.25">
      <c r="J35" s="76">
        <v>2018</v>
      </c>
      <c r="K35" s="74" t="s">
        <v>883</v>
      </c>
      <c r="L35" s="70">
        <v>2</v>
      </c>
      <c r="N35" s="76">
        <v>2019</v>
      </c>
      <c r="O35" s="74" t="s">
        <v>654</v>
      </c>
      <c r="P35" s="70">
        <v>500</v>
      </c>
      <c r="R35" s="76">
        <v>2020</v>
      </c>
      <c r="S35" s="74" t="s">
        <v>629</v>
      </c>
      <c r="T35" s="70">
        <v>1</v>
      </c>
      <c r="V35" s="76">
        <v>2021</v>
      </c>
      <c r="W35" s="74" t="s">
        <v>668</v>
      </c>
      <c r="X35" s="70">
        <v>25</v>
      </c>
    </row>
    <row r="36" spans="10:24" x14ac:dyDescent="0.25">
      <c r="J36" s="77">
        <v>2018</v>
      </c>
      <c r="K36" s="75" t="s">
        <v>867</v>
      </c>
      <c r="L36" s="69">
        <v>488</v>
      </c>
      <c r="N36" s="77">
        <v>2019</v>
      </c>
      <c r="O36" s="75" t="s">
        <v>654</v>
      </c>
      <c r="P36" s="69">
        <v>1</v>
      </c>
      <c r="R36" s="77">
        <v>2020</v>
      </c>
      <c r="S36" s="75" t="s">
        <v>629</v>
      </c>
      <c r="T36" s="69">
        <v>2</v>
      </c>
      <c r="V36" s="77">
        <v>2021</v>
      </c>
      <c r="W36" s="75" t="s">
        <v>668</v>
      </c>
      <c r="X36" s="69">
        <v>20</v>
      </c>
    </row>
    <row r="37" spans="10:24" x14ac:dyDescent="0.25">
      <c r="J37" s="76">
        <v>2018</v>
      </c>
      <c r="K37" s="74" t="s">
        <v>883</v>
      </c>
      <c r="L37" s="70">
        <v>1</v>
      </c>
      <c r="N37" s="76">
        <v>2019</v>
      </c>
      <c r="O37" s="74" t="s">
        <v>619</v>
      </c>
      <c r="P37" s="70">
        <v>1</v>
      </c>
      <c r="R37" s="76">
        <v>2020</v>
      </c>
      <c r="S37" s="74" t="s">
        <v>593</v>
      </c>
      <c r="T37" s="70">
        <v>1</v>
      </c>
      <c r="V37" s="76">
        <v>2021</v>
      </c>
      <c r="W37" s="74" t="s">
        <v>611</v>
      </c>
      <c r="X37" s="70">
        <v>9.8369999999999997</v>
      </c>
    </row>
    <row r="38" spans="10:24" x14ac:dyDescent="0.25">
      <c r="J38" s="77">
        <v>2018</v>
      </c>
      <c r="K38" s="75" t="s">
        <v>883</v>
      </c>
      <c r="L38" s="69">
        <v>1</v>
      </c>
      <c r="N38" s="77">
        <v>2019</v>
      </c>
      <c r="O38" s="75" t="s">
        <v>619</v>
      </c>
      <c r="P38" s="69">
        <v>1</v>
      </c>
      <c r="R38" s="77">
        <v>2020</v>
      </c>
      <c r="S38" s="75" t="s">
        <v>654</v>
      </c>
      <c r="T38" s="69">
        <v>473</v>
      </c>
    </row>
    <row r="39" spans="10:24" x14ac:dyDescent="0.25">
      <c r="J39" s="76">
        <v>2018</v>
      </c>
      <c r="K39" s="74" t="s">
        <v>867</v>
      </c>
      <c r="L39" s="70">
        <v>653</v>
      </c>
      <c r="N39" s="76">
        <v>2019</v>
      </c>
      <c r="O39" s="74" t="s">
        <v>619</v>
      </c>
      <c r="P39" s="70">
        <v>1</v>
      </c>
      <c r="R39" s="76">
        <v>2020</v>
      </c>
      <c r="S39" s="74" t="s">
        <v>591</v>
      </c>
      <c r="T39" s="70">
        <v>1</v>
      </c>
    </row>
    <row r="40" spans="10:24" x14ac:dyDescent="0.25">
      <c r="J40" s="77">
        <v>2018</v>
      </c>
      <c r="K40" s="75" t="s">
        <v>883</v>
      </c>
      <c r="L40" s="69">
        <v>1</v>
      </c>
      <c r="N40" s="77">
        <v>2019</v>
      </c>
      <c r="O40" s="75" t="s">
        <v>619</v>
      </c>
      <c r="P40" s="69">
        <v>1</v>
      </c>
      <c r="R40" s="77">
        <v>2020</v>
      </c>
      <c r="S40" s="75" t="s">
        <v>581</v>
      </c>
      <c r="T40" s="69">
        <v>1</v>
      </c>
    </row>
    <row r="41" spans="10:24" x14ac:dyDescent="0.25">
      <c r="J41" s="76">
        <v>2018</v>
      </c>
      <c r="K41" s="74" t="s">
        <v>883</v>
      </c>
      <c r="L41" s="70">
        <v>1</v>
      </c>
      <c r="N41" s="76">
        <v>2019</v>
      </c>
      <c r="O41" s="74" t="s">
        <v>619</v>
      </c>
      <c r="P41" s="70">
        <v>1</v>
      </c>
      <c r="R41" s="76">
        <v>2020</v>
      </c>
      <c r="S41" s="74" t="s">
        <v>591</v>
      </c>
      <c r="T41" s="70">
        <v>1</v>
      </c>
    </row>
    <row r="42" spans="10:24" x14ac:dyDescent="0.25">
      <c r="J42" s="77">
        <v>2018</v>
      </c>
      <c r="K42" s="75" t="s">
        <v>883</v>
      </c>
      <c r="L42" s="69">
        <v>1</v>
      </c>
      <c r="N42" s="77">
        <v>2019</v>
      </c>
      <c r="O42" s="75" t="s">
        <v>621</v>
      </c>
      <c r="P42" s="69">
        <v>11</v>
      </c>
      <c r="R42" s="77">
        <v>2020</v>
      </c>
      <c r="S42" s="75" t="s">
        <v>591</v>
      </c>
      <c r="T42" s="69">
        <v>1</v>
      </c>
    </row>
    <row r="43" spans="10:24" x14ac:dyDescent="0.25">
      <c r="J43" s="76">
        <v>2018</v>
      </c>
      <c r="K43" s="74" t="s">
        <v>883</v>
      </c>
      <c r="L43" s="70">
        <v>1</v>
      </c>
      <c r="N43" s="76">
        <v>2019</v>
      </c>
      <c r="O43" s="74" t="s">
        <v>621</v>
      </c>
      <c r="P43" s="70">
        <v>30</v>
      </c>
      <c r="R43" s="76">
        <v>2020</v>
      </c>
      <c r="S43" s="74" t="s">
        <v>593</v>
      </c>
      <c r="T43" s="70">
        <v>2</v>
      </c>
    </row>
    <row r="44" spans="10:24" x14ac:dyDescent="0.25">
      <c r="J44" s="77">
        <v>2018</v>
      </c>
      <c r="K44" s="75" t="s">
        <v>883</v>
      </c>
      <c r="L44" s="69">
        <v>1</v>
      </c>
      <c r="N44" s="77">
        <v>2019</v>
      </c>
      <c r="O44" s="75" t="s">
        <v>644</v>
      </c>
      <c r="P44" s="69">
        <v>1</v>
      </c>
      <c r="R44" s="77">
        <v>2020</v>
      </c>
      <c r="S44" s="75" t="s">
        <v>591</v>
      </c>
      <c r="T44" s="69">
        <v>1</v>
      </c>
    </row>
    <row r="45" spans="10:24" x14ac:dyDescent="0.25">
      <c r="J45" s="76">
        <v>2018</v>
      </c>
      <c r="K45" s="74" t="s">
        <v>867</v>
      </c>
      <c r="L45" s="70">
        <v>48</v>
      </c>
      <c r="N45" s="76">
        <v>2019</v>
      </c>
      <c r="O45" s="74" t="s">
        <v>644</v>
      </c>
      <c r="P45" s="70">
        <v>1</v>
      </c>
      <c r="R45" s="76">
        <v>2020</v>
      </c>
      <c r="S45" s="74" t="s">
        <v>877</v>
      </c>
      <c r="T45" s="70">
        <v>1</v>
      </c>
    </row>
    <row r="46" spans="10:24" x14ac:dyDescent="0.25">
      <c r="J46" s="77">
        <v>2018</v>
      </c>
      <c r="K46" s="75" t="s">
        <v>867</v>
      </c>
      <c r="L46" s="69">
        <v>747</v>
      </c>
      <c r="N46" s="77">
        <v>2019</v>
      </c>
      <c r="O46" s="75" t="s">
        <v>644</v>
      </c>
      <c r="P46" s="69">
        <v>1</v>
      </c>
      <c r="R46" s="77">
        <v>2020</v>
      </c>
      <c r="S46" s="75" t="s">
        <v>878</v>
      </c>
      <c r="T46" s="69">
        <v>1</v>
      </c>
    </row>
    <row r="47" spans="10:24" x14ac:dyDescent="0.25">
      <c r="J47" s="76">
        <v>2018</v>
      </c>
      <c r="K47" s="74" t="s">
        <v>883</v>
      </c>
      <c r="L47" s="70">
        <v>2</v>
      </c>
      <c r="N47" s="76">
        <v>2019</v>
      </c>
      <c r="O47" s="74" t="s">
        <v>644</v>
      </c>
      <c r="P47" s="70">
        <v>1</v>
      </c>
      <c r="R47" s="76">
        <v>2020</v>
      </c>
      <c r="S47" s="74" t="s">
        <v>879</v>
      </c>
      <c r="T47" s="70">
        <v>1</v>
      </c>
    </row>
    <row r="48" spans="10:24" x14ac:dyDescent="0.25">
      <c r="J48" s="77">
        <v>2018</v>
      </c>
      <c r="K48" s="75" t="s">
        <v>883</v>
      </c>
      <c r="L48" s="69">
        <v>1</v>
      </c>
      <c r="N48" s="77">
        <v>2019</v>
      </c>
      <c r="O48" s="75" t="s">
        <v>644</v>
      </c>
      <c r="P48" s="69">
        <v>1</v>
      </c>
      <c r="R48" s="77">
        <v>2020</v>
      </c>
      <c r="S48" s="75" t="s">
        <v>654</v>
      </c>
      <c r="T48" s="69">
        <v>290</v>
      </c>
    </row>
    <row r="49" spans="10:20" x14ac:dyDescent="0.25">
      <c r="J49" s="76">
        <v>2018</v>
      </c>
      <c r="K49" s="74" t="s">
        <v>883</v>
      </c>
      <c r="L49" s="70">
        <v>7</v>
      </c>
      <c r="N49" s="76">
        <v>2019</v>
      </c>
      <c r="O49" s="74" t="s">
        <v>644</v>
      </c>
      <c r="P49" s="70">
        <v>1</v>
      </c>
      <c r="R49" s="76">
        <v>2020</v>
      </c>
      <c r="S49" s="74" t="s">
        <v>591</v>
      </c>
      <c r="T49" s="70">
        <v>1</v>
      </c>
    </row>
    <row r="50" spans="10:20" x14ac:dyDescent="0.25">
      <c r="J50" s="77">
        <v>2018</v>
      </c>
      <c r="K50" s="75" t="s">
        <v>883</v>
      </c>
      <c r="L50" s="69">
        <v>14</v>
      </c>
      <c r="N50" s="77">
        <v>2019</v>
      </c>
      <c r="O50" s="75" t="s">
        <v>644</v>
      </c>
      <c r="P50" s="69">
        <v>1</v>
      </c>
      <c r="R50" s="77">
        <v>2020</v>
      </c>
      <c r="S50" s="75" t="s">
        <v>591</v>
      </c>
      <c r="T50" s="69">
        <v>1</v>
      </c>
    </row>
    <row r="51" spans="10:20" x14ac:dyDescent="0.25">
      <c r="J51" s="76">
        <v>2018</v>
      </c>
      <c r="K51" s="74" t="s">
        <v>883</v>
      </c>
      <c r="L51" s="70">
        <v>5</v>
      </c>
      <c r="N51" s="76">
        <v>2019</v>
      </c>
      <c r="O51" s="74" t="s">
        <v>644</v>
      </c>
      <c r="P51" s="70">
        <v>1</v>
      </c>
      <c r="R51" s="76">
        <v>2020</v>
      </c>
      <c r="S51" s="74" t="s">
        <v>631</v>
      </c>
      <c r="T51" s="70">
        <v>2</v>
      </c>
    </row>
    <row r="52" spans="10:20" x14ac:dyDescent="0.25">
      <c r="J52" s="77">
        <v>2018</v>
      </c>
      <c r="K52" s="75" t="s">
        <v>883</v>
      </c>
      <c r="L52" s="69">
        <v>2</v>
      </c>
      <c r="N52" s="77">
        <v>2019</v>
      </c>
      <c r="O52" s="75" t="s">
        <v>644</v>
      </c>
      <c r="P52" s="69">
        <v>1</v>
      </c>
      <c r="R52" s="77">
        <v>2020</v>
      </c>
      <c r="S52" s="75" t="s">
        <v>631</v>
      </c>
      <c r="T52" s="69">
        <v>1</v>
      </c>
    </row>
    <row r="53" spans="10:20" x14ac:dyDescent="0.25">
      <c r="J53" s="76">
        <v>2018</v>
      </c>
      <c r="K53" s="74" t="s">
        <v>883</v>
      </c>
      <c r="L53" s="70">
        <v>1</v>
      </c>
      <c r="N53" s="76">
        <v>2019</v>
      </c>
      <c r="O53" s="74" t="s">
        <v>644</v>
      </c>
      <c r="P53" s="70">
        <v>1</v>
      </c>
      <c r="R53" s="76">
        <v>2020</v>
      </c>
      <c r="S53" s="74" t="s">
        <v>631</v>
      </c>
      <c r="T53" s="70">
        <v>2</v>
      </c>
    </row>
    <row r="54" spans="10:20" x14ac:dyDescent="0.25">
      <c r="J54" s="77">
        <v>2018</v>
      </c>
      <c r="K54" s="75" t="s">
        <v>883</v>
      </c>
      <c r="L54" s="69">
        <v>3</v>
      </c>
      <c r="N54" s="77">
        <v>2019</v>
      </c>
      <c r="O54" s="75" t="s">
        <v>644</v>
      </c>
      <c r="P54" s="69">
        <v>1</v>
      </c>
      <c r="R54" s="77">
        <v>2020</v>
      </c>
      <c r="S54" s="75" t="s">
        <v>595</v>
      </c>
      <c r="T54" s="69">
        <v>1</v>
      </c>
    </row>
    <row r="55" spans="10:20" x14ac:dyDescent="0.25">
      <c r="J55" s="76">
        <v>2018</v>
      </c>
      <c r="K55" s="74" t="s">
        <v>883</v>
      </c>
      <c r="L55" s="70">
        <v>2</v>
      </c>
      <c r="N55" s="76">
        <v>2019</v>
      </c>
      <c r="O55" s="74" t="s">
        <v>644</v>
      </c>
      <c r="P55" s="70">
        <v>1</v>
      </c>
      <c r="R55" s="76">
        <v>2020</v>
      </c>
      <c r="S55" s="74" t="s">
        <v>595</v>
      </c>
      <c r="T55" s="70">
        <v>1</v>
      </c>
    </row>
    <row r="56" spans="10:20" x14ac:dyDescent="0.25">
      <c r="J56" s="77">
        <v>2018</v>
      </c>
      <c r="K56" s="75" t="s">
        <v>883</v>
      </c>
      <c r="L56" s="69">
        <v>3</v>
      </c>
      <c r="N56" s="77">
        <v>2019</v>
      </c>
      <c r="O56" s="75" t="s">
        <v>644</v>
      </c>
      <c r="P56" s="69">
        <v>1</v>
      </c>
      <c r="R56" s="77">
        <v>2020</v>
      </c>
      <c r="S56" s="75" t="s">
        <v>595</v>
      </c>
      <c r="T56" s="69">
        <v>2</v>
      </c>
    </row>
    <row r="57" spans="10:20" x14ac:dyDescent="0.25">
      <c r="J57" s="76">
        <v>2018</v>
      </c>
      <c r="K57" s="74" t="s">
        <v>883</v>
      </c>
      <c r="L57" s="70">
        <v>5</v>
      </c>
      <c r="N57" s="76">
        <v>2019</v>
      </c>
      <c r="O57" s="74" t="s">
        <v>581</v>
      </c>
      <c r="P57" s="70">
        <v>1</v>
      </c>
      <c r="R57" s="76">
        <v>2020</v>
      </c>
      <c r="S57" s="74" t="s">
        <v>654</v>
      </c>
      <c r="T57" s="70">
        <v>180</v>
      </c>
    </row>
    <row r="58" spans="10:20" x14ac:dyDescent="0.25">
      <c r="J58" s="77">
        <v>2018</v>
      </c>
      <c r="K58" s="75" t="s">
        <v>609</v>
      </c>
      <c r="L58" s="69">
        <v>2947</v>
      </c>
      <c r="N58" s="77">
        <v>2019</v>
      </c>
      <c r="O58" s="75" t="s">
        <v>581</v>
      </c>
      <c r="P58" s="69">
        <v>1</v>
      </c>
      <c r="R58" s="77">
        <v>2020</v>
      </c>
      <c r="S58" s="75" t="s">
        <v>654</v>
      </c>
      <c r="T58" s="69">
        <v>300</v>
      </c>
    </row>
    <row r="59" spans="10:20" x14ac:dyDescent="0.25">
      <c r="J59" s="76">
        <v>2018</v>
      </c>
      <c r="K59" s="74" t="s">
        <v>609</v>
      </c>
      <c r="L59" s="70">
        <v>3243.6</v>
      </c>
      <c r="N59" s="76">
        <v>2019</v>
      </c>
      <c r="O59" s="74" t="s">
        <v>607</v>
      </c>
      <c r="P59" s="70">
        <v>316.10000000000002</v>
      </c>
      <c r="R59" s="76">
        <v>2020</v>
      </c>
      <c r="S59" s="74" t="s">
        <v>654</v>
      </c>
      <c r="T59" s="70">
        <v>531</v>
      </c>
    </row>
    <row r="60" spans="10:20" x14ac:dyDescent="0.25">
      <c r="J60" s="77">
        <v>2018</v>
      </c>
      <c r="K60" s="75" t="s">
        <v>609</v>
      </c>
      <c r="L60" s="69">
        <v>13065</v>
      </c>
      <c r="N60" s="77">
        <v>2019</v>
      </c>
      <c r="O60" s="75" t="s">
        <v>623</v>
      </c>
      <c r="P60" s="69">
        <v>37866</v>
      </c>
      <c r="R60" s="77">
        <v>2020</v>
      </c>
      <c r="S60" s="75" t="s">
        <v>619</v>
      </c>
      <c r="T60" s="69">
        <v>1</v>
      </c>
    </row>
    <row r="61" spans="10:20" x14ac:dyDescent="0.25">
      <c r="J61" s="76">
        <v>2018</v>
      </c>
      <c r="K61" s="74" t="s">
        <v>609</v>
      </c>
      <c r="L61" s="70">
        <v>4373.5</v>
      </c>
      <c r="N61" s="76">
        <v>2019</v>
      </c>
      <c r="O61" s="74" t="s">
        <v>623</v>
      </c>
      <c r="P61" s="70">
        <v>91148</v>
      </c>
      <c r="R61" s="76">
        <v>2020</v>
      </c>
      <c r="S61" s="74" t="s">
        <v>621</v>
      </c>
      <c r="T61" s="70">
        <v>40</v>
      </c>
    </row>
    <row r="62" spans="10:20" x14ac:dyDescent="0.25">
      <c r="J62" s="77">
        <v>2018</v>
      </c>
      <c r="K62" s="75" t="s">
        <v>609</v>
      </c>
      <c r="L62" s="69">
        <v>3937</v>
      </c>
      <c r="N62" s="77">
        <v>2019</v>
      </c>
      <c r="O62" s="75" t="s">
        <v>607</v>
      </c>
      <c r="P62" s="69">
        <v>612.75</v>
      </c>
      <c r="R62" s="77">
        <v>2020</v>
      </c>
      <c r="S62" s="75" t="s">
        <v>642</v>
      </c>
      <c r="T62" s="69">
        <v>4533</v>
      </c>
    </row>
    <row r="63" spans="10:20" x14ac:dyDescent="0.25">
      <c r="J63" s="76">
        <v>2018</v>
      </c>
      <c r="K63" s="74" t="s">
        <v>609</v>
      </c>
      <c r="L63" s="70">
        <v>2463</v>
      </c>
      <c r="N63" s="76">
        <v>2019</v>
      </c>
      <c r="O63" s="74" t="s">
        <v>883</v>
      </c>
      <c r="P63" s="70">
        <v>1</v>
      </c>
      <c r="R63" s="76">
        <v>2020</v>
      </c>
      <c r="S63" s="74" t="s">
        <v>642</v>
      </c>
      <c r="T63" s="70">
        <v>2500</v>
      </c>
    </row>
    <row r="64" spans="10:20" x14ac:dyDescent="0.25">
      <c r="J64" s="77">
        <v>2018</v>
      </c>
      <c r="K64" s="75" t="s">
        <v>646</v>
      </c>
      <c r="L64" s="69">
        <v>9</v>
      </c>
      <c r="N64" s="77">
        <v>2019</v>
      </c>
      <c r="O64" s="75" t="s">
        <v>883</v>
      </c>
      <c r="P64" s="69">
        <v>1</v>
      </c>
      <c r="R64" s="77">
        <v>2020</v>
      </c>
      <c r="S64" s="75" t="s">
        <v>642</v>
      </c>
      <c r="T64" s="69">
        <v>350</v>
      </c>
    </row>
    <row r="65" spans="10:20" x14ac:dyDescent="0.25">
      <c r="J65" s="76">
        <v>2018</v>
      </c>
      <c r="K65" s="74" t="s">
        <v>605</v>
      </c>
      <c r="L65" s="70">
        <v>24</v>
      </c>
      <c r="N65" s="76">
        <v>2019</v>
      </c>
      <c r="O65" s="74" t="s">
        <v>883</v>
      </c>
      <c r="P65" s="70">
        <v>1</v>
      </c>
      <c r="R65" s="76">
        <v>2020</v>
      </c>
      <c r="S65" s="74" t="s">
        <v>644</v>
      </c>
      <c r="T65" s="70">
        <v>1</v>
      </c>
    </row>
    <row r="66" spans="10:20" x14ac:dyDescent="0.25">
      <c r="J66" s="77">
        <v>2018</v>
      </c>
      <c r="K66" s="75" t="s">
        <v>579</v>
      </c>
      <c r="L66" s="69">
        <v>27</v>
      </c>
      <c r="N66" s="77">
        <v>2019</v>
      </c>
      <c r="O66" s="75" t="s">
        <v>883</v>
      </c>
      <c r="P66" s="69">
        <v>1</v>
      </c>
      <c r="R66" s="77">
        <v>2020</v>
      </c>
      <c r="S66" s="75" t="s">
        <v>644</v>
      </c>
      <c r="T66" s="69">
        <v>6</v>
      </c>
    </row>
    <row r="67" spans="10:20" x14ac:dyDescent="0.25">
      <c r="J67" s="76">
        <v>2018</v>
      </c>
      <c r="K67" s="74" t="s">
        <v>676</v>
      </c>
      <c r="L67" s="70">
        <v>0.4</v>
      </c>
      <c r="N67" s="76">
        <v>2019</v>
      </c>
      <c r="O67" s="74" t="s">
        <v>883</v>
      </c>
      <c r="P67" s="70">
        <v>1</v>
      </c>
      <c r="R67" s="76">
        <v>2020</v>
      </c>
      <c r="S67" s="74" t="s">
        <v>644</v>
      </c>
      <c r="T67" s="70">
        <v>1</v>
      </c>
    </row>
    <row r="68" spans="10:20" x14ac:dyDescent="0.25">
      <c r="J68" s="77">
        <v>2018</v>
      </c>
      <c r="K68" s="75" t="s">
        <v>676</v>
      </c>
      <c r="L68" s="69">
        <v>0.08</v>
      </c>
      <c r="N68" s="77">
        <v>2019</v>
      </c>
      <c r="O68" s="75" t="s">
        <v>883</v>
      </c>
      <c r="P68" s="69">
        <v>1</v>
      </c>
      <c r="R68" s="77">
        <v>2020</v>
      </c>
      <c r="S68" s="75" t="s">
        <v>644</v>
      </c>
      <c r="T68" s="69">
        <v>1</v>
      </c>
    </row>
    <row r="69" spans="10:20" x14ac:dyDescent="0.25">
      <c r="J69" s="76">
        <v>2018</v>
      </c>
      <c r="K69" s="74" t="s">
        <v>676</v>
      </c>
      <c r="L69" s="70">
        <v>8.2600000000000007E-2</v>
      </c>
      <c r="N69" s="76">
        <v>2019</v>
      </c>
      <c r="O69" s="74" t="s">
        <v>883</v>
      </c>
      <c r="P69" s="70">
        <v>1</v>
      </c>
      <c r="R69" s="76">
        <v>2020</v>
      </c>
      <c r="S69" s="74" t="s">
        <v>644</v>
      </c>
      <c r="T69" s="70">
        <v>6</v>
      </c>
    </row>
    <row r="70" spans="10:20" x14ac:dyDescent="0.25">
      <c r="J70" s="77">
        <v>2018</v>
      </c>
      <c r="K70" s="75" t="s">
        <v>636</v>
      </c>
      <c r="L70" s="69">
        <v>3.45</v>
      </c>
      <c r="N70" s="77">
        <v>2019</v>
      </c>
      <c r="O70" s="75" t="s">
        <v>883</v>
      </c>
      <c r="P70" s="69">
        <v>1</v>
      </c>
      <c r="R70" s="77">
        <v>2020</v>
      </c>
      <c r="S70" s="75" t="s">
        <v>644</v>
      </c>
      <c r="T70" s="69">
        <v>1</v>
      </c>
    </row>
    <row r="71" spans="10:20" x14ac:dyDescent="0.25">
      <c r="J71" s="76">
        <v>2018</v>
      </c>
      <c r="K71" s="74" t="s">
        <v>636</v>
      </c>
      <c r="L71" s="70">
        <v>128</v>
      </c>
      <c r="N71" s="76">
        <v>2019</v>
      </c>
      <c r="O71" s="74" t="s">
        <v>883</v>
      </c>
      <c r="P71" s="70">
        <v>7</v>
      </c>
      <c r="R71" s="76">
        <v>2020</v>
      </c>
      <c r="S71" s="74" t="s">
        <v>644</v>
      </c>
      <c r="T71" s="70">
        <v>1</v>
      </c>
    </row>
    <row r="72" spans="10:20" x14ac:dyDescent="0.25">
      <c r="J72" s="77">
        <v>2018</v>
      </c>
      <c r="K72" s="75" t="s">
        <v>636</v>
      </c>
      <c r="L72" s="69">
        <v>5</v>
      </c>
      <c r="N72" s="77">
        <v>2019</v>
      </c>
      <c r="O72" s="75" t="s">
        <v>883</v>
      </c>
      <c r="P72" s="69">
        <v>1</v>
      </c>
      <c r="R72" s="77">
        <v>2020</v>
      </c>
      <c r="S72" s="75" t="s">
        <v>644</v>
      </c>
      <c r="T72" s="69">
        <v>1</v>
      </c>
    </row>
    <row r="73" spans="10:20" x14ac:dyDescent="0.25">
      <c r="J73" s="76">
        <v>2018</v>
      </c>
      <c r="K73" s="74" t="s">
        <v>577</v>
      </c>
      <c r="L73" s="70">
        <v>1</v>
      </c>
      <c r="N73" s="76">
        <v>2019</v>
      </c>
      <c r="O73" s="74" t="s">
        <v>883</v>
      </c>
      <c r="P73" s="70">
        <v>1</v>
      </c>
      <c r="R73" s="76">
        <v>2020</v>
      </c>
      <c r="S73" s="74" t="s">
        <v>644</v>
      </c>
      <c r="T73" s="70">
        <v>1</v>
      </c>
    </row>
    <row r="74" spans="10:20" x14ac:dyDescent="0.25">
      <c r="J74" s="77">
        <v>2018</v>
      </c>
      <c r="K74" s="75" t="s">
        <v>617</v>
      </c>
      <c r="L74" s="69">
        <v>17</v>
      </c>
      <c r="N74" s="77">
        <v>2019</v>
      </c>
      <c r="O74" s="75" t="s">
        <v>883</v>
      </c>
      <c r="P74" s="69">
        <v>1</v>
      </c>
      <c r="R74" s="77">
        <v>2020</v>
      </c>
      <c r="S74" s="75" t="s">
        <v>644</v>
      </c>
      <c r="T74" s="69">
        <v>1</v>
      </c>
    </row>
    <row r="75" spans="10:20" x14ac:dyDescent="0.25">
      <c r="J75" s="76">
        <v>2018</v>
      </c>
      <c r="K75" s="74" t="s">
        <v>617</v>
      </c>
      <c r="L75" s="70">
        <v>7</v>
      </c>
      <c r="N75" s="76">
        <v>2019</v>
      </c>
      <c r="O75" s="74" t="s">
        <v>609</v>
      </c>
      <c r="P75" s="70">
        <v>1600</v>
      </c>
      <c r="R75" s="76">
        <v>2020</v>
      </c>
      <c r="S75" s="74" t="s">
        <v>644</v>
      </c>
      <c r="T75" s="70">
        <v>1</v>
      </c>
    </row>
    <row r="76" spans="10:20" x14ac:dyDescent="0.25">
      <c r="J76" s="77">
        <v>2018</v>
      </c>
      <c r="K76" s="75" t="s">
        <v>633</v>
      </c>
      <c r="L76" s="69">
        <v>30</v>
      </c>
      <c r="N76" s="77">
        <v>2019</v>
      </c>
      <c r="O76" s="75" t="s">
        <v>567</v>
      </c>
      <c r="P76" s="69">
        <v>338</v>
      </c>
      <c r="R76" s="77">
        <v>2020</v>
      </c>
      <c r="S76" s="75" t="s">
        <v>644</v>
      </c>
      <c r="T76" s="69">
        <v>1</v>
      </c>
    </row>
    <row r="77" spans="10:20" x14ac:dyDescent="0.25">
      <c r="J77" s="76">
        <v>2018</v>
      </c>
      <c r="K77" s="74" t="s">
        <v>595</v>
      </c>
      <c r="L77" s="70">
        <v>1</v>
      </c>
      <c r="N77" s="76">
        <v>2019</v>
      </c>
      <c r="O77" s="74" t="s">
        <v>567</v>
      </c>
      <c r="P77" s="70">
        <v>877</v>
      </c>
      <c r="R77" s="76">
        <v>2020</v>
      </c>
      <c r="S77" s="74" t="s">
        <v>644</v>
      </c>
      <c r="T77" s="70">
        <v>5</v>
      </c>
    </row>
    <row r="78" spans="10:20" x14ac:dyDescent="0.25">
      <c r="J78" s="77">
        <v>2018</v>
      </c>
      <c r="K78" s="75" t="s">
        <v>595</v>
      </c>
      <c r="L78" s="69">
        <v>1</v>
      </c>
      <c r="N78" s="77">
        <v>2019</v>
      </c>
      <c r="O78" s="75" t="s">
        <v>611</v>
      </c>
      <c r="P78" s="69">
        <v>26.22</v>
      </c>
      <c r="R78" s="77">
        <v>2020</v>
      </c>
      <c r="S78" s="75" t="s">
        <v>644</v>
      </c>
      <c r="T78" s="69">
        <v>1</v>
      </c>
    </row>
    <row r="79" spans="10:20" x14ac:dyDescent="0.25">
      <c r="J79" s="76">
        <v>2018</v>
      </c>
      <c r="K79" s="74" t="s">
        <v>867</v>
      </c>
      <c r="L79" s="70">
        <v>177</v>
      </c>
      <c r="N79" s="76">
        <v>2019</v>
      </c>
      <c r="O79" s="74" t="s">
        <v>567</v>
      </c>
      <c r="P79" s="70">
        <v>55</v>
      </c>
      <c r="R79" s="76">
        <v>2020</v>
      </c>
      <c r="S79" s="74" t="s">
        <v>644</v>
      </c>
      <c r="T79" s="70">
        <v>1</v>
      </c>
    </row>
    <row r="80" spans="10:20" x14ac:dyDescent="0.25">
      <c r="J80" s="77">
        <v>2018</v>
      </c>
      <c r="K80" s="75" t="s">
        <v>868</v>
      </c>
      <c r="L80" s="69">
        <v>1</v>
      </c>
      <c r="N80" s="77">
        <v>2019</v>
      </c>
      <c r="O80" s="75" t="s">
        <v>611</v>
      </c>
      <c r="P80" s="69">
        <v>8.1890000000000001</v>
      </c>
      <c r="R80" s="77">
        <v>2020</v>
      </c>
      <c r="S80" s="75" t="s">
        <v>644</v>
      </c>
      <c r="T80" s="69">
        <v>1</v>
      </c>
    </row>
    <row r="81" spans="10:20" x14ac:dyDescent="0.25">
      <c r="J81" s="76">
        <v>2018</v>
      </c>
      <c r="K81" s="74" t="s">
        <v>867</v>
      </c>
      <c r="L81" s="70">
        <v>543</v>
      </c>
      <c r="N81" s="76">
        <v>2019</v>
      </c>
      <c r="O81" s="74" t="s">
        <v>636</v>
      </c>
      <c r="P81" s="70">
        <v>5</v>
      </c>
      <c r="R81" s="76">
        <v>2020</v>
      </c>
      <c r="S81" s="74" t="s">
        <v>644</v>
      </c>
      <c r="T81" s="70">
        <v>1</v>
      </c>
    </row>
    <row r="82" spans="10:20" x14ac:dyDescent="0.25">
      <c r="J82" s="77">
        <v>2018</v>
      </c>
      <c r="K82" s="75" t="s">
        <v>868</v>
      </c>
      <c r="L82" s="69">
        <v>1</v>
      </c>
      <c r="N82" s="77">
        <v>2019</v>
      </c>
      <c r="O82" s="75" t="s">
        <v>577</v>
      </c>
      <c r="P82" s="69">
        <v>2</v>
      </c>
      <c r="R82" s="77">
        <v>2020</v>
      </c>
      <c r="S82" s="75" t="s">
        <v>644</v>
      </c>
      <c r="T82" s="69">
        <v>1</v>
      </c>
    </row>
    <row r="83" spans="10:20" x14ac:dyDescent="0.25">
      <c r="J83" s="76">
        <v>2018</v>
      </c>
      <c r="K83" s="74" t="s">
        <v>867</v>
      </c>
      <c r="L83" s="70">
        <v>263</v>
      </c>
      <c r="N83" s="76">
        <v>2019</v>
      </c>
      <c r="O83" s="74" t="s">
        <v>563</v>
      </c>
      <c r="P83" s="70">
        <v>794.02</v>
      </c>
      <c r="R83" s="76">
        <v>2020</v>
      </c>
      <c r="S83" s="74" t="s">
        <v>644</v>
      </c>
      <c r="T83" s="70">
        <v>1</v>
      </c>
    </row>
    <row r="84" spans="10:20" x14ac:dyDescent="0.25">
      <c r="J84" s="77">
        <v>2018</v>
      </c>
      <c r="K84" s="75" t="s">
        <v>867</v>
      </c>
      <c r="L84" s="69">
        <v>402</v>
      </c>
      <c r="N84" s="77">
        <v>2019</v>
      </c>
      <c r="O84" s="75" t="s">
        <v>703</v>
      </c>
      <c r="P84" s="69">
        <v>1.7041000000000001E-2</v>
      </c>
      <c r="R84" s="77">
        <v>2020</v>
      </c>
      <c r="S84" s="75" t="s">
        <v>644</v>
      </c>
      <c r="T84" s="69">
        <v>1</v>
      </c>
    </row>
    <row r="85" spans="10:20" x14ac:dyDescent="0.25">
      <c r="J85" s="76">
        <v>2018</v>
      </c>
      <c r="K85" s="74" t="s">
        <v>868</v>
      </c>
      <c r="L85" s="70">
        <v>1</v>
      </c>
      <c r="N85" s="76">
        <v>2019</v>
      </c>
      <c r="O85" s="74" t="s">
        <v>617</v>
      </c>
      <c r="P85" s="70">
        <v>4</v>
      </c>
      <c r="R85" s="76">
        <v>2020</v>
      </c>
      <c r="S85" s="74" t="s">
        <v>644</v>
      </c>
      <c r="T85" s="70">
        <v>1</v>
      </c>
    </row>
    <row r="86" spans="10:20" x14ac:dyDescent="0.25">
      <c r="J86" s="77">
        <v>2018</v>
      </c>
      <c r="K86" s="75" t="s">
        <v>867</v>
      </c>
      <c r="L86" s="69">
        <v>335</v>
      </c>
      <c r="N86" s="77">
        <v>2019</v>
      </c>
      <c r="O86" s="75" t="s">
        <v>703</v>
      </c>
      <c r="P86" s="69">
        <v>3.0999999999999999E-3</v>
      </c>
      <c r="R86" s="77">
        <v>2020</v>
      </c>
      <c r="S86" s="75" t="s">
        <v>644</v>
      </c>
      <c r="T86" s="69">
        <v>1</v>
      </c>
    </row>
    <row r="87" spans="10:20" x14ac:dyDescent="0.25">
      <c r="J87" s="76">
        <v>2018</v>
      </c>
      <c r="K87" s="74" t="s">
        <v>867</v>
      </c>
      <c r="L87" s="70">
        <v>410</v>
      </c>
      <c r="N87" s="76">
        <v>2019</v>
      </c>
      <c r="O87" s="74" t="s">
        <v>617</v>
      </c>
      <c r="P87" s="70">
        <v>1</v>
      </c>
      <c r="R87" s="76">
        <v>2020</v>
      </c>
      <c r="S87" s="74" t="s">
        <v>644</v>
      </c>
      <c r="T87" s="70">
        <v>1</v>
      </c>
    </row>
    <row r="88" spans="10:20" x14ac:dyDescent="0.25">
      <c r="J88" s="77">
        <v>2018</v>
      </c>
      <c r="K88" s="75" t="s">
        <v>867</v>
      </c>
      <c r="L88" s="69">
        <v>392</v>
      </c>
      <c r="N88" s="77">
        <v>2019</v>
      </c>
      <c r="O88" s="75" t="s">
        <v>703</v>
      </c>
      <c r="P88" s="69">
        <v>4.86E-4</v>
      </c>
      <c r="R88" s="77">
        <v>2020</v>
      </c>
      <c r="S88" s="75" t="s">
        <v>644</v>
      </c>
      <c r="T88" s="69">
        <v>1</v>
      </c>
    </row>
    <row r="89" spans="10:20" x14ac:dyDescent="0.25">
      <c r="J89" s="76">
        <v>2018</v>
      </c>
      <c r="K89" s="74" t="s">
        <v>867</v>
      </c>
      <c r="L89" s="70">
        <v>747</v>
      </c>
      <c r="N89" s="76">
        <v>2019</v>
      </c>
      <c r="O89" s="74" t="s">
        <v>701</v>
      </c>
      <c r="P89" s="70">
        <v>2000</v>
      </c>
      <c r="R89" s="76">
        <v>2020</v>
      </c>
      <c r="S89" s="74" t="s">
        <v>644</v>
      </c>
      <c r="T89" s="70">
        <v>1</v>
      </c>
    </row>
    <row r="90" spans="10:20" x14ac:dyDescent="0.25">
      <c r="J90" s="77">
        <v>2018</v>
      </c>
      <c r="K90" s="75" t="s">
        <v>867</v>
      </c>
      <c r="L90" s="69">
        <v>637</v>
      </c>
      <c r="N90" s="77">
        <v>2019</v>
      </c>
      <c r="O90" s="75" t="s">
        <v>869</v>
      </c>
      <c r="P90" s="69">
        <v>5</v>
      </c>
      <c r="R90" s="77">
        <v>2020</v>
      </c>
      <c r="S90" s="75" t="s">
        <v>644</v>
      </c>
      <c r="T90" s="69">
        <v>1</v>
      </c>
    </row>
    <row r="91" spans="10:20" x14ac:dyDescent="0.25">
      <c r="J91" s="76">
        <v>2018</v>
      </c>
      <c r="K91" s="74" t="s">
        <v>868</v>
      </c>
      <c r="L91" s="70">
        <v>4</v>
      </c>
      <c r="N91" s="76">
        <v>2019</v>
      </c>
      <c r="O91" s="74" t="s">
        <v>555</v>
      </c>
      <c r="P91" s="70">
        <v>3400</v>
      </c>
      <c r="R91" s="76">
        <v>2020</v>
      </c>
      <c r="S91" s="74" t="s">
        <v>644</v>
      </c>
      <c r="T91" s="70">
        <v>1</v>
      </c>
    </row>
    <row r="92" spans="10:20" x14ac:dyDescent="0.25">
      <c r="J92" s="77">
        <v>2018</v>
      </c>
      <c r="K92" s="75" t="s">
        <v>868</v>
      </c>
      <c r="L92" s="69">
        <v>4</v>
      </c>
      <c r="N92" s="77">
        <v>2019</v>
      </c>
      <c r="O92" s="75" t="s">
        <v>555</v>
      </c>
      <c r="P92" s="69">
        <v>1200</v>
      </c>
      <c r="R92" s="77">
        <v>2020</v>
      </c>
      <c r="S92" s="75" t="s">
        <v>644</v>
      </c>
      <c r="T92" s="69">
        <v>1</v>
      </c>
    </row>
    <row r="93" spans="10:20" x14ac:dyDescent="0.25">
      <c r="J93" s="76">
        <v>2018</v>
      </c>
      <c r="K93" s="74" t="s">
        <v>867</v>
      </c>
      <c r="L93" s="70">
        <v>857</v>
      </c>
      <c r="N93" s="76">
        <v>2019</v>
      </c>
      <c r="O93" s="74" t="s">
        <v>613</v>
      </c>
      <c r="P93" s="70">
        <v>1</v>
      </c>
      <c r="R93" s="76">
        <v>2020</v>
      </c>
      <c r="S93" s="74" t="s">
        <v>644</v>
      </c>
      <c r="T93" s="70">
        <v>1</v>
      </c>
    </row>
    <row r="94" spans="10:20" x14ac:dyDescent="0.25">
      <c r="J94" s="77">
        <v>2018</v>
      </c>
      <c r="K94" s="75" t="s">
        <v>867</v>
      </c>
      <c r="L94" s="69">
        <v>747</v>
      </c>
      <c r="N94" s="77">
        <v>2019</v>
      </c>
      <c r="O94" s="75" t="s">
        <v>702</v>
      </c>
      <c r="P94" s="69">
        <v>1</v>
      </c>
      <c r="R94" s="77">
        <v>2020</v>
      </c>
      <c r="S94" s="75" t="s">
        <v>644</v>
      </c>
      <c r="T94" s="69">
        <v>1</v>
      </c>
    </row>
    <row r="95" spans="10:20" x14ac:dyDescent="0.25">
      <c r="J95" s="76">
        <v>2018</v>
      </c>
      <c r="K95" s="74" t="s">
        <v>867</v>
      </c>
      <c r="L95" s="70">
        <v>882</v>
      </c>
      <c r="N95" s="76">
        <v>2019</v>
      </c>
      <c r="O95" s="74" t="s">
        <v>701</v>
      </c>
      <c r="P95" s="70">
        <v>800</v>
      </c>
      <c r="R95" s="76">
        <v>2020</v>
      </c>
      <c r="S95" s="74" t="s">
        <v>644</v>
      </c>
      <c r="T95" s="70">
        <v>1</v>
      </c>
    </row>
    <row r="96" spans="10:20" x14ac:dyDescent="0.25">
      <c r="J96" s="77">
        <v>2018</v>
      </c>
      <c r="K96" s="75" t="s">
        <v>867</v>
      </c>
      <c r="L96" s="69">
        <v>859</v>
      </c>
      <c r="N96" s="77">
        <v>2019</v>
      </c>
      <c r="O96" s="75" t="s">
        <v>629</v>
      </c>
      <c r="P96" s="69">
        <v>2</v>
      </c>
      <c r="R96" s="77">
        <v>2020</v>
      </c>
      <c r="S96" s="75" t="s">
        <v>581</v>
      </c>
      <c r="T96" s="69">
        <v>1</v>
      </c>
    </row>
    <row r="97" spans="10:20" x14ac:dyDescent="0.25">
      <c r="J97" s="76">
        <v>2018</v>
      </c>
      <c r="K97" s="74" t="s">
        <v>867</v>
      </c>
      <c r="L97" s="70">
        <v>823</v>
      </c>
      <c r="N97" s="76">
        <v>2019</v>
      </c>
      <c r="O97" s="74" t="s">
        <v>593</v>
      </c>
      <c r="P97" s="70">
        <v>1</v>
      </c>
      <c r="R97" s="76">
        <v>2020</v>
      </c>
      <c r="S97" s="74" t="s">
        <v>581</v>
      </c>
      <c r="T97" s="70">
        <v>1</v>
      </c>
    </row>
    <row r="98" spans="10:20" x14ac:dyDescent="0.25">
      <c r="J98" s="77">
        <v>2018</v>
      </c>
      <c r="K98" s="75" t="s">
        <v>867</v>
      </c>
      <c r="L98" s="69">
        <v>644</v>
      </c>
      <c r="N98" s="77">
        <v>2019</v>
      </c>
      <c r="O98" s="75" t="s">
        <v>591</v>
      </c>
      <c r="P98" s="69">
        <v>1</v>
      </c>
      <c r="R98" s="77">
        <v>2020</v>
      </c>
      <c r="S98" s="75" t="s">
        <v>607</v>
      </c>
      <c r="T98" s="69">
        <v>228.22</v>
      </c>
    </row>
    <row r="99" spans="10:20" x14ac:dyDescent="0.25">
      <c r="J99" s="76">
        <v>2018</v>
      </c>
      <c r="K99" s="74" t="s">
        <v>867</v>
      </c>
      <c r="L99" s="70">
        <v>935</v>
      </c>
      <c r="N99" s="76">
        <v>2019</v>
      </c>
      <c r="O99" s="74" t="s">
        <v>591</v>
      </c>
      <c r="P99" s="70">
        <v>1</v>
      </c>
      <c r="R99" s="76">
        <v>2020</v>
      </c>
      <c r="S99" s="74" t="s">
        <v>623</v>
      </c>
      <c r="T99" s="70">
        <v>10265</v>
      </c>
    </row>
    <row r="100" spans="10:20" x14ac:dyDescent="0.25">
      <c r="J100" s="77">
        <v>2018</v>
      </c>
      <c r="K100" s="75" t="s">
        <v>867</v>
      </c>
      <c r="L100" s="69">
        <v>995</v>
      </c>
      <c r="N100" s="77">
        <v>2019</v>
      </c>
      <c r="O100" s="75" t="s">
        <v>654</v>
      </c>
      <c r="P100" s="69">
        <v>200</v>
      </c>
      <c r="R100" s="77">
        <v>2020</v>
      </c>
      <c r="S100" s="75" t="s">
        <v>623</v>
      </c>
      <c r="T100" s="69">
        <v>8440</v>
      </c>
    </row>
    <row r="101" spans="10:20" x14ac:dyDescent="0.25">
      <c r="J101" s="76">
        <v>2018</v>
      </c>
      <c r="K101" s="74" t="s">
        <v>867</v>
      </c>
      <c r="L101" s="70">
        <v>795</v>
      </c>
      <c r="N101" s="76">
        <v>2019</v>
      </c>
      <c r="O101" s="74" t="s">
        <v>654</v>
      </c>
      <c r="P101" s="70">
        <v>200</v>
      </c>
      <c r="R101" s="76">
        <v>2020</v>
      </c>
      <c r="S101" s="74" t="s">
        <v>623</v>
      </c>
      <c r="T101" s="70">
        <v>10206.5</v>
      </c>
    </row>
    <row r="102" spans="10:20" x14ac:dyDescent="0.25">
      <c r="J102" s="77">
        <v>2018</v>
      </c>
      <c r="K102" s="75" t="s">
        <v>867</v>
      </c>
      <c r="L102" s="69">
        <v>728</v>
      </c>
      <c r="N102" s="77">
        <v>2019</v>
      </c>
      <c r="O102" s="75" t="s">
        <v>654</v>
      </c>
      <c r="P102" s="69">
        <v>225</v>
      </c>
      <c r="R102" s="77">
        <v>2020</v>
      </c>
      <c r="S102" s="75" t="s">
        <v>623</v>
      </c>
      <c r="T102" s="69">
        <v>84826</v>
      </c>
    </row>
    <row r="103" spans="10:20" x14ac:dyDescent="0.25">
      <c r="J103" s="76">
        <v>2018</v>
      </c>
      <c r="K103" s="74" t="s">
        <v>867</v>
      </c>
      <c r="L103" s="70">
        <v>926</v>
      </c>
      <c r="N103" s="76">
        <v>2019</v>
      </c>
      <c r="O103" s="74" t="s">
        <v>867</v>
      </c>
      <c r="P103" s="70">
        <v>812</v>
      </c>
      <c r="R103" s="76">
        <v>2020</v>
      </c>
      <c r="S103" s="74" t="s">
        <v>563</v>
      </c>
      <c r="T103" s="70">
        <v>2000</v>
      </c>
    </row>
    <row r="104" spans="10:20" x14ac:dyDescent="0.25">
      <c r="J104" s="77">
        <v>2018</v>
      </c>
      <c r="K104" s="75" t="s">
        <v>672</v>
      </c>
      <c r="L104" s="69">
        <v>1</v>
      </c>
      <c r="N104" s="77">
        <v>2019</v>
      </c>
      <c r="O104" s="75" t="s">
        <v>694</v>
      </c>
      <c r="P104" s="69">
        <v>1</v>
      </c>
      <c r="R104" s="77">
        <v>2020</v>
      </c>
      <c r="S104" s="75" t="s">
        <v>883</v>
      </c>
      <c r="T104" s="69">
        <v>1</v>
      </c>
    </row>
    <row r="105" spans="10:20" x14ac:dyDescent="0.25">
      <c r="J105" s="76">
        <v>2018</v>
      </c>
      <c r="K105" s="74" t="s">
        <v>636</v>
      </c>
      <c r="L105" s="70">
        <v>4.5599999999999996</v>
      </c>
      <c r="N105" s="76">
        <v>2019</v>
      </c>
      <c r="O105" s="74" t="s">
        <v>595</v>
      </c>
      <c r="P105" s="70">
        <v>1</v>
      </c>
      <c r="R105" s="76">
        <v>2020</v>
      </c>
      <c r="S105" s="74" t="s">
        <v>883</v>
      </c>
      <c r="T105" s="70">
        <v>1</v>
      </c>
    </row>
    <row r="106" spans="10:20" x14ac:dyDescent="0.25">
      <c r="J106" s="77">
        <v>2018</v>
      </c>
      <c r="K106" s="75" t="s">
        <v>678</v>
      </c>
      <c r="L106" s="69">
        <v>1</v>
      </c>
      <c r="N106" s="77">
        <v>2019</v>
      </c>
      <c r="O106" s="75" t="s">
        <v>638</v>
      </c>
      <c r="P106" s="69">
        <v>40</v>
      </c>
      <c r="R106" s="77">
        <v>2020</v>
      </c>
      <c r="S106" s="75" t="s">
        <v>693</v>
      </c>
      <c r="T106" s="69">
        <v>1</v>
      </c>
    </row>
    <row r="107" spans="10:20" x14ac:dyDescent="0.25">
      <c r="J107" s="76">
        <v>2018</v>
      </c>
      <c r="K107" s="74" t="s">
        <v>678</v>
      </c>
      <c r="L107" s="70">
        <v>2</v>
      </c>
      <c r="N107" s="76">
        <v>2019</v>
      </c>
      <c r="O107" s="74" t="s">
        <v>638</v>
      </c>
      <c r="P107" s="70">
        <v>61</v>
      </c>
      <c r="R107" s="76">
        <v>2020</v>
      </c>
      <c r="S107" s="74" t="s">
        <v>693</v>
      </c>
      <c r="T107" s="70">
        <v>1</v>
      </c>
    </row>
    <row r="108" spans="10:20" x14ac:dyDescent="0.25">
      <c r="J108" s="77">
        <v>2018</v>
      </c>
      <c r="K108" s="75" t="s">
        <v>678</v>
      </c>
      <c r="L108" s="69">
        <v>1</v>
      </c>
      <c r="N108" s="77">
        <v>2019</v>
      </c>
      <c r="O108" s="75" t="s">
        <v>638</v>
      </c>
      <c r="P108" s="69">
        <v>45</v>
      </c>
      <c r="R108" s="77">
        <v>2020</v>
      </c>
      <c r="S108" s="75" t="s">
        <v>693</v>
      </c>
      <c r="T108" s="69">
        <v>1</v>
      </c>
    </row>
    <row r="109" spans="10:20" x14ac:dyDescent="0.25">
      <c r="J109" s="76">
        <v>2018</v>
      </c>
      <c r="K109" s="74" t="s">
        <v>579</v>
      </c>
      <c r="L109" s="70">
        <v>41</v>
      </c>
      <c r="N109" s="76">
        <v>2019</v>
      </c>
      <c r="O109" s="74" t="s">
        <v>638</v>
      </c>
      <c r="P109" s="70">
        <v>73</v>
      </c>
      <c r="R109" s="76">
        <v>2020</v>
      </c>
      <c r="S109" s="74" t="s">
        <v>693</v>
      </c>
      <c r="T109" s="70">
        <v>1</v>
      </c>
    </row>
    <row r="110" spans="10:20" x14ac:dyDescent="0.25">
      <c r="J110" s="77">
        <v>2018</v>
      </c>
      <c r="K110" s="75" t="s">
        <v>615</v>
      </c>
      <c r="L110" s="69">
        <v>1</v>
      </c>
      <c r="N110" s="77">
        <v>2019</v>
      </c>
      <c r="O110" s="75" t="s">
        <v>638</v>
      </c>
      <c r="P110" s="69">
        <v>10</v>
      </c>
      <c r="R110" s="77">
        <v>2020</v>
      </c>
      <c r="S110" s="75" t="s">
        <v>623</v>
      </c>
      <c r="T110" s="69">
        <v>13198</v>
      </c>
    </row>
    <row r="111" spans="10:20" x14ac:dyDescent="0.25">
      <c r="J111" s="76">
        <v>2018</v>
      </c>
      <c r="K111" s="74" t="s">
        <v>615</v>
      </c>
      <c r="L111" s="70">
        <v>1</v>
      </c>
      <c r="N111" s="76">
        <v>2019</v>
      </c>
      <c r="O111" s="74" t="s">
        <v>559</v>
      </c>
      <c r="P111" s="70">
        <v>2188</v>
      </c>
      <c r="R111" s="76">
        <v>2020</v>
      </c>
      <c r="S111" s="74" t="s">
        <v>623</v>
      </c>
      <c r="T111" s="70">
        <v>16740</v>
      </c>
    </row>
    <row r="112" spans="10:20" x14ac:dyDescent="0.25">
      <c r="J112" s="77">
        <v>2018</v>
      </c>
      <c r="K112" s="75" t="s">
        <v>703</v>
      </c>
      <c r="L112" s="69">
        <v>7.9899999999999999E-2</v>
      </c>
      <c r="N112" s="77">
        <v>2019</v>
      </c>
      <c r="O112" s="75" t="s">
        <v>559</v>
      </c>
      <c r="P112" s="69">
        <v>1800</v>
      </c>
      <c r="R112" s="77">
        <v>2020</v>
      </c>
      <c r="S112" s="75" t="s">
        <v>883</v>
      </c>
      <c r="T112" s="69">
        <v>1</v>
      </c>
    </row>
    <row r="113" spans="10:20" x14ac:dyDescent="0.25">
      <c r="J113" s="76">
        <v>2018</v>
      </c>
      <c r="K113" s="74" t="s">
        <v>703</v>
      </c>
      <c r="L113" s="70">
        <v>2.4699499999999998E-3</v>
      </c>
      <c r="N113" s="76">
        <v>2019</v>
      </c>
      <c r="O113" s="74" t="s">
        <v>559</v>
      </c>
      <c r="P113" s="70">
        <v>680</v>
      </c>
      <c r="R113" s="76">
        <v>2020</v>
      </c>
      <c r="S113" s="74" t="s">
        <v>883</v>
      </c>
      <c r="T113" s="70">
        <v>1</v>
      </c>
    </row>
    <row r="114" spans="10:20" x14ac:dyDescent="0.25">
      <c r="J114" s="77">
        <v>2018</v>
      </c>
      <c r="K114" s="75" t="s">
        <v>654</v>
      </c>
      <c r="L114" s="69">
        <v>732</v>
      </c>
      <c r="N114" s="77">
        <v>2019</v>
      </c>
      <c r="O114" s="75" t="s">
        <v>559</v>
      </c>
      <c r="P114" s="69">
        <v>1882</v>
      </c>
      <c r="R114" s="77">
        <v>2020</v>
      </c>
      <c r="S114" s="75" t="s">
        <v>883</v>
      </c>
      <c r="T114" s="69">
        <v>1</v>
      </c>
    </row>
    <row r="115" spans="10:20" x14ac:dyDescent="0.25">
      <c r="J115" s="76">
        <v>2018</v>
      </c>
      <c r="K115" s="74" t="s">
        <v>654</v>
      </c>
      <c r="L115" s="70">
        <v>891</v>
      </c>
      <c r="N115" s="76">
        <v>2019</v>
      </c>
      <c r="O115" s="74" t="s">
        <v>559</v>
      </c>
      <c r="P115" s="70">
        <v>828</v>
      </c>
      <c r="R115" s="76">
        <v>2020</v>
      </c>
      <c r="S115" s="74" t="s">
        <v>883</v>
      </c>
      <c r="T115" s="70">
        <v>1</v>
      </c>
    </row>
    <row r="116" spans="10:20" x14ac:dyDescent="0.25">
      <c r="J116" s="77">
        <v>2018</v>
      </c>
      <c r="K116" s="75" t="s">
        <v>868</v>
      </c>
      <c r="L116" s="69">
        <v>1</v>
      </c>
      <c r="N116" s="77">
        <v>2019</v>
      </c>
      <c r="O116" s="75" t="s">
        <v>559</v>
      </c>
      <c r="P116" s="69">
        <v>837</v>
      </c>
      <c r="R116" s="77">
        <v>2020</v>
      </c>
      <c r="S116" s="75" t="s">
        <v>883</v>
      </c>
      <c r="T116" s="69">
        <v>1</v>
      </c>
    </row>
    <row r="117" spans="10:20" x14ac:dyDescent="0.25">
      <c r="J117" s="76">
        <v>2018</v>
      </c>
      <c r="K117" s="74" t="s">
        <v>868</v>
      </c>
      <c r="L117" s="70">
        <v>1</v>
      </c>
      <c r="N117" s="76">
        <v>2019</v>
      </c>
      <c r="O117" s="74" t="s">
        <v>559</v>
      </c>
      <c r="P117" s="70">
        <v>11000</v>
      </c>
      <c r="R117" s="76">
        <v>2020</v>
      </c>
      <c r="S117" s="74" t="s">
        <v>883</v>
      </c>
      <c r="T117" s="70">
        <v>1</v>
      </c>
    </row>
    <row r="118" spans="10:20" x14ac:dyDescent="0.25">
      <c r="J118" s="77">
        <v>2018</v>
      </c>
      <c r="K118" s="75" t="s">
        <v>868</v>
      </c>
      <c r="L118" s="69">
        <v>1</v>
      </c>
      <c r="N118" s="77">
        <v>2019</v>
      </c>
      <c r="O118" s="75" t="s">
        <v>559</v>
      </c>
      <c r="P118" s="69">
        <v>2127</v>
      </c>
      <c r="R118" s="77">
        <v>2020</v>
      </c>
      <c r="S118" s="75" t="s">
        <v>883</v>
      </c>
      <c r="T118" s="69">
        <v>1</v>
      </c>
    </row>
    <row r="119" spans="10:20" x14ac:dyDescent="0.25">
      <c r="J119" s="76">
        <v>2018</v>
      </c>
      <c r="K119" s="74" t="s">
        <v>868</v>
      </c>
      <c r="L119" s="70">
        <v>1</v>
      </c>
      <c r="N119" s="76">
        <v>2019</v>
      </c>
      <c r="O119" s="74" t="s">
        <v>559</v>
      </c>
      <c r="P119" s="70">
        <v>1944</v>
      </c>
      <c r="R119" s="76">
        <v>2020</v>
      </c>
      <c r="S119" s="74" t="s">
        <v>883</v>
      </c>
      <c r="T119" s="70">
        <v>1</v>
      </c>
    </row>
    <row r="120" spans="10:20" x14ac:dyDescent="0.25">
      <c r="J120" s="77">
        <v>2018</v>
      </c>
      <c r="K120" s="75" t="s">
        <v>868</v>
      </c>
      <c r="L120" s="69">
        <v>1</v>
      </c>
      <c r="N120" s="77">
        <v>2019</v>
      </c>
      <c r="O120" s="75" t="s">
        <v>559</v>
      </c>
      <c r="P120" s="69">
        <v>2500</v>
      </c>
      <c r="R120" s="77">
        <v>2020</v>
      </c>
      <c r="S120" s="75" t="s">
        <v>883</v>
      </c>
      <c r="T120" s="69">
        <v>1</v>
      </c>
    </row>
    <row r="121" spans="10:20" x14ac:dyDescent="0.25">
      <c r="J121" s="76">
        <v>2018</v>
      </c>
      <c r="K121" s="74" t="s">
        <v>868</v>
      </c>
      <c r="L121" s="70">
        <v>1</v>
      </c>
      <c r="N121" s="76">
        <v>2019</v>
      </c>
      <c r="O121" s="74" t="s">
        <v>559</v>
      </c>
      <c r="P121" s="70">
        <v>343</v>
      </c>
      <c r="R121" s="76">
        <v>2020</v>
      </c>
      <c r="S121" s="74" t="s">
        <v>883</v>
      </c>
      <c r="T121" s="70">
        <v>1</v>
      </c>
    </row>
    <row r="122" spans="10:20" x14ac:dyDescent="0.25">
      <c r="J122" s="77">
        <v>2018</v>
      </c>
      <c r="K122" s="75" t="s">
        <v>868</v>
      </c>
      <c r="L122" s="69">
        <v>1</v>
      </c>
      <c r="N122" s="77">
        <v>2019</v>
      </c>
      <c r="O122" s="75" t="s">
        <v>559</v>
      </c>
      <c r="P122" s="69">
        <v>337</v>
      </c>
      <c r="R122" s="77">
        <v>2020</v>
      </c>
      <c r="S122" s="75" t="s">
        <v>883</v>
      </c>
      <c r="T122" s="69">
        <v>1</v>
      </c>
    </row>
    <row r="123" spans="10:20" x14ac:dyDescent="0.25">
      <c r="J123" s="76">
        <v>2018</v>
      </c>
      <c r="K123" s="74" t="s">
        <v>868</v>
      </c>
      <c r="L123" s="70">
        <v>4</v>
      </c>
      <c r="N123" s="76">
        <v>2019</v>
      </c>
      <c r="O123" s="74" t="s">
        <v>559</v>
      </c>
      <c r="P123" s="70">
        <v>0</v>
      </c>
      <c r="R123" s="76">
        <v>2020</v>
      </c>
      <c r="S123" s="74" t="s">
        <v>883</v>
      </c>
      <c r="T123" s="70">
        <v>1</v>
      </c>
    </row>
    <row r="124" spans="10:20" x14ac:dyDescent="0.25">
      <c r="J124" s="77">
        <v>2018</v>
      </c>
      <c r="K124" s="75" t="s">
        <v>868</v>
      </c>
      <c r="L124" s="69">
        <v>4</v>
      </c>
      <c r="N124" s="77">
        <v>2019</v>
      </c>
      <c r="O124" s="75" t="s">
        <v>670</v>
      </c>
      <c r="P124" s="69">
        <v>100</v>
      </c>
      <c r="R124" s="77">
        <v>2020</v>
      </c>
      <c r="S124" s="75" t="s">
        <v>883</v>
      </c>
      <c r="T124" s="69">
        <v>1</v>
      </c>
    </row>
    <row r="125" spans="10:20" x14ac:dyDescent="0.25">
      <c r="J125" s="76">
        <v>2018</v>
      </c>
      <c r="K125" s="74" t="s">
        <v>868</v>
      </c>
      <c r="L125" s="70">
        <v>1</v>
      </c>
      <c r="N125" s="76">
        <v>2019</v>
      </c>
      <c r="O125" s="74" t="s">
        <v>867</v>
      </c>
      <c r="P125" s="70">
        <v>177</v>
      </c>
      <c r="R125" s="76">
        <v>2020</v>
      </c>
      <c r="S125" s="74" t="s">
        <v>883</v>
      </c>
      <c r="T125" s="70">
        <v>1</v>
      </c>
    </row>
    <row r="126" spans="10:20" x14ac:dyDescent="0.25">
      <c r="J126" s="77">
        <v>2018</v>
      </c>
      <c r="K126" s="75" t="s">
        <v>868</v>
      </c>
      <c r="L126" s="69">
        <v>1</v>
      </c>
      <c r="N126" s="77">
        <v>2019</v>
      </c>
      <c r="O126" s="75" t="s">
        <v>867</v>
      </c>
      <c r="P126" s="69">
        <v>877</v>
      </c>
      <c r="R126" s="77">
        <v>2020</v>
      </c>
      <c r="S126" s="75" t="s">
        <v>883</v>
      </c>
      <c r="T126" s="69">
        <v>1</v>
      </c>
    </row>
    <row r="127" spans="10:20" x14ac:dyDescent="0.25">
      <c r="J127" s="76">
        <v>2018</v>
      </c>
      <c r="K127" s="74" t="s">
        <v>868</v>
      </c>
      <c r="L127" s="70">
        <v>1</v>
      </c>
      <c r="N127" s="76">
        <v>2019</v>
      </c>
      <c r="O127" s="74" t="s">
        <v>867</v>
      </c>
      <c r="P127" s="70">
        <v>406</v>
      </c>
      <c r="R127" s="76">
        <v>2020</v>
      </c>
      <c r="S127" s="74" t="s">
        <v>567</v>
      </c>
      <c r="T127" s="70">
        <v>164</v>
      </c>
    </row>
    <row r="128" spans="10:20" x14ac:dyDescent="0.25">
      <c r="J128" s="77">
        <v>2018</v>
      </c>
      <c r="K128" s="75" t="s">
        <v>868</v>
      </c>
      <c r="L128" s="69">
        <v>1</v>
      </c>
      <c r="N128" s="77">
        <v>2019</v>
      </c>
      <c r="O128" s="75" t="s">
        <v>867</v>
      </c>
      <c r="P128" s="69">
        <v>635</v>
      </c>
      <c r="R128" s="77">
        <v>2020</v>
      </c>
      <c r="S128" s="75" t="s">
        <v>571</v>
      </c>
      <c r="T128" s="69">
        <v>316</v>
      </c>
    </row>
    <row r="129" spans="10:20" x14ac:dyDescent="0.25">
      <c r="J129" s="76">
        <v>2018</v>
      </c>
      <c r="K129" s="74" t="s">
        <v>868</v>
      </c>
      <c r="L129" s="70">
        <v>1</v>
      </c>
      <c r="N129" s="76">
        <v>2019</v>
      </c>
      <c r="O129" s="74" t="s">
        <v>867</v>
      </c>
      <c r="P129" s="70">
        <v>841</v>
      </c>
      <c r="R129" s="76">
        <v>2020</v>
      </c>
      <c r="S129" s="74" t="s">
        <v>573</v>
      </c>
      <c r="T129" s="70">
        <v>228</v>
      </c>
    </row>
    <row r="130" spans="10:20" x14ac:dyDescent="0.25">
      <c r="J130" s="77">
        <v>2018</v>
      </c>
      <c r="K130" s="75" t="s">
        <v>868</v>
      </c>
      <c r="L130" s="69">
        <v>1</v>
      </c>
      <c r="N130" s="77">
        <v>2019</v>
      </c>
      <c r="O130" s="75" t="s">
        <v>867</v>
      </c>
      <c r="P130" s="69">
        <v>752</v>
      </c>
      <c r="R130" s="77">
        <v>2020</v>
      </c>
      <c r="S130" s="75" t="s">
        <v>567</v>
      </c>
      <c r="T130" s="69">
        <v>672</v>
      </c>
    </row>
    <row r="131" spans="10:20" x14ac:dyDescent="0.25">
      <c r="J131" s="76">
        <v>2018</v>
      </c>
      <c r="K131" s="74" t="s">
        <v>868</v>
      </c>
      <c r="L131" s="70">
        <v>1</v>
      </c>
      <c r="N131" s="76">
        <v>2019</v>
      </c>
      <c r="O131" s="74" t="s">
        <v>867</v>
      </c>
      <c r="P131" s="70">
        <v>279</v>
      </c>
      <c r="R131" s="76">
        <v>2020</v>
      </c>
      <c r="S131" s="74" t="s">
        <v>567</v>
      </c>
      <c r="T131" s="70">
        <v>239</v>
      </c>
    </row>
    <row r="132" spans="10:20" x14ac:dyDescent="0.25">
      <c r="J132" s="77">
        <v>2018</v>
      </c>
      <c r="K132" s="75" t="s">
        <v>868</v>
      </c>
      <c r="L132" s="69">
        <v>1</v>
      </c>
      <c r="N132" s="77">
        <v>2019</v>
      </c>
      <c r="O132" s="75" t="s">
        <v>867</v>
      </c>
      <c r="P132" s="69">
        <v>239</v>
      </c>
      <c r="R132" s="77">
        <v>2020</v>
      </c>
      <c r="S132" s="75" t="s">
        <v>571</v>
      </c>
      <c r="T132" s="69">
        <v>192</v>
      </c>
    </row>
    <row r="133" spans="10:20" x14ac:dyDescent="0.25">
      <c r="J133" s="76">
        <v>2018</v>
      </c>
      <c r="K133" s="74" t="s">
        <v>868</v>
      </c>
      <c r="L133" s="70">
        <v>1</v>
      </c>
      <c r="N133" s="76">
        <v>2019</v>
      </c>
      <c r="O133" s="74" t="s">
        <v>867</v>
      </c>
      <c r="P133" s="70">
        <v>273</v>
      </c>
      <c r="R133" s="76">
        <v>2020</v>
      </c>
      <c r="S133" s="74" t="s">
        <v>571</v>
      </c>
      <c r="T133" s="70">
        <v>164</v>
      </c>
    </row>
    <row r="134" spans="10:20" x14ac:dyDescent="0.25">
      <c r="J134" s="77">
        <v>2018</v>
      </c>
      <c r="K134" s="75" t="s">
        <v>868</v>
      </c>
      <c r="L134" s="69">
        <v>1</v>
      </c>
      <c r="N134" s="77">
        <v>2019</v>
      </c>
      <c r="O134" s="75" t="s">
        <v>867</v>
      </c>
      <c r="P134" s="69">
        <v>750</v>
      </c>
      <c r="R134" s="77">
        <v>2020</v>
      </c>
      <c r="S134" s="75" t="s">
        <v>650</v>
      </c>
      <c r="T134" s="69">
        <v>2</v>
      </c>
    </row>
    <row r="135" spans="10:20" x14ac:dyDescent="0.25">
      <c r="J135" s="76">
        <v>2018</v>
      </c>
      <c r="K135" s="74" t="s">
        <v>868</v>
      </c>
      <c r="L135" s="70">
        <v>1</v>
      </c>
      <c r="N135" s="76">
        <v>2019</v>
      </c>
      <c r="O135" s="74" t="s">
        <v>867</v>
      </c>
      <c r="P135" s="70">
        <v>872</v>
      </c>
      <c r="R135" s="76">
        <v>2020</v>
      </c>
      <c r="S135" s="74" t="s">
        <v>689</v>
      </c>
      <c r="T135" s="70">
        <v>1</v>
      </c>
    </row>
    <row r="136" spans="10:20" x14ac:dyDescent="0.25">
      <c r="J136" s="77">
        <v>2018</v>
      </c>
      <c r="K136" s="75" t="s">
        <v>674</v>
      </c>
      <c r="L136" s="69">
        <v>1</v>
      </c>
      <c r="N136" s="77">
        <v>2019</v>
      </c>
      <c r="O136" s="75" t="s">
        <v>867</v>
      </c>
      <c r="P136" s="69">
        <v>728</v>
      </c>
      <c r="R136" s="77">
        <v>2020</v>
      </c>
      <c r="S136" s="75" t="s">
        <v>689</v>
      </c>
      <c r="T136" s="69">
        <v>1</v>
      </c>
    </row>
    <row r="137" spans="10:20" x14ac:dyDescent="0.25">
      <c r="N137" s="76">
        <v>2019</v>
      </c>
      <c r="O137" s="74" t="s">
        <v>571</v>
      </c>
      <c r="P137" s="70">
        <v>778</v>
      </c>
      <c r="R137" s="76">
        <v>2020</v>
      </c>
      <c r="S137" s="74" t="s">
        <v>636</v>
      </c>
      <c r="T137" s="70">
        <v>3.83</v>
      </c>
    </row>
    <row r="138" spans="10:20" x14ac:dyDescent="0.25">
      <c r="N138" s="77">
        <v>2019</v>
      </c>
      <c r="O138" s="75" t="s">
        <v>569</v>
      </c>
      <c r="P138" s="69">
        <v>2285</v>
      </c>
      <c r="R138" s="77">
        <v>2020</v>
      </c>
      <c r="S138" s="75" t="s">
        <v>676</v>
      </c>
      <c r="T138" s="69">
        <v>0.41299999999999998</v>
      </c>
    </row>
    <row r="139" spans="10:20" x14ac:dyDescent="0.25">
      <c r="N139" s="76">
        <v>2019</v>
      </c>
      <c r="O139" s="74" t="s">
        <v>567</v>
      </c>
      <c r="P139" s="70">
        <v>1231</v>
      </c>
      <c r="R139" s="76">
        <v>2020</v>
      </c>
      <c r="S139" s="74" t="s">
        <v>615</v>
      </c>
      <c r="T139" s="70">
        <v>1</v>
      </c>
    </row>
    <row r="140" spans="10:20" x14ac:dyDescent="0.25">
      <c r="N140" s="77">
        <v>2019</v>
      </c>
      <c r="O140" s="75" t="s">
        <v>571</v>
      </c>
      <c r="P140" s="69">
        <v>114</v>
      </c>
      <c r="R140" s="77">
        <v>2020</v>
      </c>
      <c r="S140" s="75" t="s">
        <v>615</v>
      </c>
      <c r="T140" s="69">
        <v>1</v>
      </c>
    </row>
    <row r="141" spans="10:20" x14ac:dyDescent="0.25">
      <c r="N141" s="76">
        <v>2019</v>
      </c>
      <c r="O141" s="74" t="s">
        <v>571</v>
      </c>
      <c r="P141" s="70">
        <v>536</v>
      </c>
      <c r="R141" s="76">
        <v>2020</v>
      </c>
      <c r="S141" s="74" t="s">
        <v>577</v>
      </c>
      <c r="T141" s="70">
        <v>3</v>
      </c>
    </row>
    <row r="142" spans="10:20" x14ac:dyDescent="0.25">
      <c r="N142" s="77">
        <v>2019</v>
      </c>
      <c r="O142" s="75" t="s">
        <v>615</v>
      </c>
      <c r="P142" s="69">
        <v>1</v>
      </c>
      <c r="R142" s="77">
        <v>2020</v>
      </c>
      <c r="S142" s="75" t="s">
        <v>561</v>
      </c>
      <c r="T142" s="69">
        <v>3534</v>
      </c>
    </row>
    <row r="143" spans="10:20" x14ac:dyDescent="0.25">
      <c r="N143" s="76">
        <v>2019</v>
      </c>
      <c r="O143" s="74" t="s">
        <v>617</v>
      </c>
      <c r="P143" s="70">
        <v>4</v>
      </c>
      <c r="R143" s="76">
        <v>2020</v>
      </c>
      <c r="S143" s="74" t="s">
        <v>703</v>
      </c>
      <c r="T143" s="70">
        <v>0.5</v>
      </c>
    </row>
    <row r="144" spans="10:20" x14ac:dyDescent="0.25">
      <c r="N144" s="77">
        <v>2019</v>
      </c>
      <c r="O144" s="75" t="s">
        <v>555</v>
      </c>
      <c r="P144" s="69">
        <v>56697</v>
      </c>
      <c r="R144" s="77">
        <v>2020</v>
      </c>
      <c r="S144" s="75" t="s">
        <v>617</v>
      </c>
      <c r="T144" s="69">
        <v>1</v>
      </c>
    </row>
    <row r="145" spans="14:20" x14ac:dyDescent="0.25">
      <c r="N145" s="76">
        <v>2019</v>
      </c>
      <c r="O145" s="74" t="s">
        <v>654</v>
      </c>
      <c r="P145" s="70">
        <v>550</v>
      </c>
      <c r="R145" s="76">
        <v>2020</v>
      </c>
      <c r="S145" s="74" t="s">
        <v>703</v>
      </c>
      <c r="T145" s="70">
        <v>0.34169498799999998</v>
      </c>
    </row>
    <row r="146" spans="14:20" x14ac:dyDescent="0.25">
      <c r="N146" s="77">
        <v>2019</v>
      </c>
      <c r="O146" s="75" t="s">
        <v>654</v>
      </c>
      <c r="P146" s="69">
        <v>206</v>
      </c>
      <c r="R146" s="77">
        <v>2020</v>
      </c>
      <c r="S146" s="75" t="s">
        <v>703</v>
      </c>
      <c r="T146" s="69">
        <v>0.09</v>
      </c>
    </row>
    <row r="147" spans="14:20" x14ac:dyDescent="0.25">
      <c r="N147" s="76">
        <v>2019</v>
      </c>
      <c r="O147" s="74" t="s">
        <v>654</v>
      </c>
      <c r="P147" s="70">
        <v>144</v>
      </c>
      <c r="R147" s="76">
        <v>2020</v>
      </c>
      <c r="S147" s="74" t="s">
        <v>617</v>
      </c>
      <c r="T147" s="70">
        <v>1</v>
      </c>
    </row>
    <row r="148" spans="14:20" x14ac:dyDescent="0.25">
      <c r="N148" s="77">
        <v>2019</v>
      </c>
      <c r="O148" s="75" t="s">
        <v>682</v>
      </c>
      <c r="P148" s="69">
        <v>25</v>
      </c>
      <c r="R148" s="77">
        <v>2020</v>
      </c>
      <c r="S148" s="75" t="s">
        <v>617</v>
      </c>
      <c r="T148" s="69">
        <v>1</v>
      </c>
    </row>
    <row r="149" spans="14:20" x14ac:dyDescent="0.25">
      <c r="N149" s="76">
        <v>2019</v>
      </c>
      <c r="O149" s="74" t="s">
        <v>682</v>
      </c>
      <c r="P149" s="70">
        <v>24</v>
      </c>
      <c r="R149" s="76">
        <v>2020</v>
      </c>
      <c r="S149" s="74" t="s">
        <v>703</v>
      </c>
      <c r="T149" s="70">
        <v>2.433E-4</v>
      </c>
    </row>
    <row r="150" spans="14:20" x14ac:dyDescent="0.25">
      <c r="N150" s="77">
        <v>2019</v>
      </c>
      <c r="O150" s="75" t="s">
        <v>682</v>
      </c>
      <c r="P150" s="69">
        <v>80</v>
      </c>
      <c r="R150" s="77">
        <v>2020</v>
      </c>
      <c r="S150" s="75" t="s">
        <v>617</v>
      </c>
      <c r="T150" s="69">
        <v>1</v>
      </c>
    </row>
    <row r="151" spans="14:20" x14ac:dyDescent="0.25">
      <c r="N151" s="76">
        <v>2019</v>
      </c>
      <c r="O151" s="74" t="s">
        <v>868</v>
      </c>
      <c r="P151" s="70">
        <v>1</v>
      </c>
      <c r="R151" s="76">
        <v>2020</v>
      </c>
      <c r="S151" s="74" t="s">
        <v>601</v>
      </c>
      <c r="T151" s="70">
        <v>0.48799999999999999</v>
      </c>
    </row>
    <row r="152" spans="14:20" x14ac:dyDescent="0.25">
      <c r="N152" s="77">
        <v>2019</v>
      </c>
      <c r="O152" s="75" t="s">
        <v>668</v>
      </c>
      <c r="P152" s="69">
        <v>25</v>
      </c>
      <c r="R152" s="77">
        <v>2020</v>
      </c>
      <c r="S152" s="75" t="s">
        <v>613</v>
      </c>
      <c r="T152" s="69">
        <v>1</v>
      </c>
    </row>
    <row r="153" spans="14:20" x14ac:dyDescent="0.25">
      <c r="N153" s="76">
        <v>2019</v>
      </c>
      <c r="O153" s="74" t="s">
        <v>668</v>
      </c>
      <c r="P153" s="70">
        <v>40</v>
      </c>
      <c r="R153" s="76">
        <v>2020</v>
      </c>
      <c r="S153" s="74" t="s">
        <v>563</v>
      </c>
      <c r="T153" s="70">
        <v>5320</v>
      </c>
    </row>
    <row r="154" spans="14:20" x14ac:dyDescent="0.25">
      <c r="N154" s="77">
        <v>2019</v>
      </c>
      <c r="O154" s="75" t="s">
        <v>668</v>
      </c>
      <c r="P154" s="69">
        <v>30</v>
      </c>
      <c r="R154" s="77">
        <v>2020</v>
      </c>
      <c r="S154" s="75" t="s">
        <v>593</v>
      </c>
      <c r="T154" s="69">
        <v>1</v>
      </c>
    </row>
    <row r="155" spans="14:20" x14ac:dyDescent="0.25">
      <c r="N155" s="76">
        <v>2019</v>
      </c>
      <c r="O155" s="74" t="s">
        <v>668</v>
      </c>
      <c r="P155" s="70">
        <v>50</v>
      </c>
      <c r="R155" s="76">
        <v>2020</v>
      </c>
      <c r="S155" s="74" t="s">
        <v>593</v>
      </c>
      <c r="T155" s="70">
        <v>2</v>
      </c>
    </row>
    <row r="156" spans="14:20" x14ac:dyDescent="0.25">
      <c r="N156" s="77">
        <v>2019</v>
      </c>
      <c r="O156" s="75" t="s">
        <v>668</v>
      </c>
      <c r="P156" s="69">
        <v>8</v>
      </c>
      <c r="R156" s="77">
        <v>2020</v>
      </c>
      <c r="S156" s="75" t="s">
        <v>629</v>
      </c>
      <c r="T156" s="69"/>
    </row>
    <row r="157" spans="14:20" x14ac:dyDescent="0.25">
      <c r="N157" s="76">
        <v>2019</v>
      </c>
      <c r="O157" s="74" t="s">
        <v>868</v>
      </c>
      <c r="P157" s="70">
        <v>1</v>
      </c>
      <c r="R157" s="76">
        <v>2020</v>
      </c>
      <c r="S157" s="74" t="s">
        <v>593</v>
      </c>
      <c r="T157" s="70">
        <v>1</v>
      </c>
    </row>
    <row r="158" spans="14:20" x14ac:dyDescent="0.25">
      <c r="N158" s="77">
        <v>2019</v>
      </c>
      <c r="O158" s="75" t="s">
        <v>868</v>
      </c>
      <c r="P158" s="69">
        <v>1</v>
      </c>
      <c r="R158" s="77">
        <v>2020</v>
      </c>
      <c r="S158" s="75" t="s">
        <v>654</v>
      </c>
      <c r="T158" s="69">
        <v>20</v>
      </c>
    </row>
    <row r="159" spans="14:20" x14ac:dyDescent="0.25">
      <c r="N159" s="76">
        <v>2019</v>
      </c>
      <c r="O159" s="74" t="s">
        <v>868</v>
      </c>
      <c r="P159" s="70">
        <v>1</v>
      </c>
      <c r="R159" s="76">
        <v>2020</v>
      </c>
      <c r="S159" s="74" t="s">
        <v>593</v>
      </c>
      <c r="T159" s="70">
        <v>1</v>
      </c>
    </row>
    <row r="160" spans="14:20" x14ac:dyDescent="0.25">
      <c r="N160" s="77">
        <v>2019</v>
      </c>
      <c r="O160" s="75" t="s">
        <v>868</v>
      </c>
      <c r="P160" s="69">
        <v>1</v>
      </c>
      <c r="R160" s="77">
        <v>2020</v>
      </c>
      <c r="S160" s="75" t="s">
        <v>654</v>
      </c>
      <c r="T160" s="69">
        <v>180</v>
      </c>
    </row>
    <row r="161" spans="14:20" x14ac:dyDescent="0.25">
      <c r="N161" s="76">
        <v>2019</v>
      </c>
      <c r="O161" s="74" t="s">
        <v>868</v>
      </c>
      <c r="P161" s="70">
        <v>1</v>
      </c>
      <c r="R161" s="76">
        <v>2020</v>
      </c>
      <c r="S161" s="74" t="s">
        <v>654</v>
      </c>
      <c r="T161" s="70">
        <v>185</v>
      </c>
    </row>
    <row r="162" spans="14:20" x14ac:dyDescent="0.25">
      <c r="N162" s="77">
        <v>2019</v>
      </c>
      <c r="O162" s="75" t="s">
        <v>868</v>
      </c>
      <c r="P162" s="69">
        <v>1</v>
      </c>
      <c r="R162" s="77">
        <v>2020</v>
      </c>
      <c r="S162" s="75" t="s">
        <v>654</v>
      </c>
      <c r="T162" s="69">
        <v>1090</v>
      </c>
    </row>
    <row r="163" spans="14:20" x14ac:dyDescent="0.25">
      <c r="N163" s="76">
        <v>2019</v>
      </c>
      <c r="O163" s="74" t="s">
        <v>868</v>
      </c>
      <c r="P163" s="70">
        <v>1</v>
      </c>
      <c r="R163" s="76">
        <v>2020</v>
      </c>
      <c r="S163" s="74" t="s">
        <v>654</v>
      </c>
      <c r="T163" s="70">
        <v>192</v>
      </c>
    </row>
    <row r="164" spans="14:20" x14ac:dyDescent="0.25">
      <c r="N164" s="77">
        <v>2019</v>
      </c>
      <c r="O164" s="75" t="s">
        <v>868</v>
      </c>
      <c r="P164" s="69">
        <v>1</v>
      </c>
      <c r="R164" s="77">
        <v>2020</v>
      </c>
      <c r="S164" s="75" t="s">
        <v>694</v>
      </c>
      <c r="T164" s="69">
        <v>1</v>
      </c>
    </row>
    <row r="165" spans="14:20" x14ac:dyDescent="0.25">
      <c r="N165" s="76">
        <v>2019</v>
      </c>
      <c r="O165" s="74" t="s">
        <v>868</v>
      </c>
      <c r="P165" s="70">
        <v>1</v>
      </c>
      <c r="R165" s="76">
        <v>2020</v>
      </c>
      <c r="S165" s="74" t="s">
        <v>654</v>
      </c>
      <c r="T165" s="70">
        <v>50</v>
      </c>
    </row>
    <row r="166" spans="14:20" x14ac:dyDescent="0.25">
      <c r="N166" s="77">
        <v>2019</v>
      </c>
      <c r="O166" s="75" t="s">
        <v>868</v>
      </c>
      <c r="P166" s="69">
        <v>1</v>
      </c>
      <c r="R166" s="77">
        <v>2020</v>
      </c>
      <c r="S166" s="75" t="s">
        <v>654</v>
      </c>
      <c r="T166" s="69">
        <v>104</v>
      </c>
    </row>
    <row r="167" spans="14:20" x14ac:dyDescent="0.25">
      <c r="N167" s="76">
        <v>2019</v>
      </c>
      <c r="O167" s="74" t="s">
        <v>868</v>
      </c>
      <c r="P167" s="70">
        <v>1</v>
      </c>
      <c r="R167" s="76">
        <v>2020</v>
      </c>
      <c r="S167" s="74" t="s">
        <v>633</v>
      </c>
      <c r="T167" s="70">
        <v>70</v>
      </c>
    </row>
    <row r="168" spans="14:20" x14ac:dyDescent="0.25">
      <c r="N168" s="77">
        <v>2019</v>
      </c>
      <c r="O168" s="75" t="s">
        <v>868</v>
      </c>
      <c r="P168" s="69">
        <v>1</v>
      </c>
      <c r="R168" s="77">
        <v>2020</v>
      </c>
      <c r="S168" s="75" t="s">
        <v>633</v>
      </c>
      <c r="T168" s="69">
        <v>25</v>
      </c>
    </row>
    <row r="169" spans="14:20" x14ac:dyDescent="0.25">
      <c r="N169" s="76">
        <v>2019</v>
      </c>
      <c r="O169" s="74" t="s">
        <v>611</v>
      </c>
      <c r="P169" s="70">
        <v>6.3869999999999996</v>
      </c>
      <c r="R169" s="76">
        <v>2020</v>
      </c>
      <c r="S169" s="74" t="s">
        <v>633</v>
      </c>
      <c r="T169" s="70">
        <v>30</v>
      </c>
    </row>
    <row r="170" spans="14:20" x14ac:dyDescent="0.25">
      <c r="N170" s="77">
        <v>2019</v>
      </c>
      <c r="O170" s="75" t="s">
        <v>571</v>
      </c>
      <c r="P170" s="69">
        <v>1265</v>
      </c>
      <c r="R170" s="77">
        <v>2020</v>
      </c>
      <c r="S170" s="75" t="s">
        <v>654</v>
      </c>
      <c r="T170" s="69">
        <v>756</v>
      </c>
    </row>
    <row r="171" spans="14:20" x14ac:dyDescent="0.25">
      <c r="N171" s="76">
        <v>2019</v>
      </c>
      <c r="O171" s="74" t="s">
        <v>571</v>
      </c>
      <c r="P171" s="70">
        <v>1812</v>
      </c>
      <c r="R171" s="76">
        <v>2020</v>
      </c>
      <c r="S171" s="74" t="s">
        <v>654</v>
      </c>
      <c r="T171" s="70">
        <v>480</v>
      </c>
    </row>
    <row r="172" spans="14:20" x14ac:dyDescent="0.25">
      <c r="N172" s="77">
        <v>2019</v>
      </c>
      <c r="O172" s="75" t="s">
        <v>611</v>
      </c>
      <c r="P172" s="69">
        <v>7.6280000000000001</v>
      </c>
      <c r="R172" s="77">
        <v>2020</v>
      </c>
      <c r="S172" s="75" t="s">
        <v>654</v>
      </c>
      <c r="T172" s="69">
        <v>800</v>
      </c>
    </row>
    <row r="173" spans="14:20" x14ac:dyDescent="0.25">
      <c r="N173" s="76">
        <v>2019</v>
      </c>
      <c r="O173" s="74" t="s">
        <v>684</v>
      </c>
      <c r="P173" s="70">
        <v>3</v>
      </c>
      <c r="R173" s="76">
        <v>2020</v>
      </c>
      <c r="S173" s="74" t="s">
        <v>595</v>
      </c>
      <c r="T173" s="70">
        <v>1</v>
      </c>
    </row>
    <row r="174" spans="14:20" x14ac:dyDescent="0.25">
      <c r="N174" s="77">
        <v>2019</v>
      </c>
      <c r="O174" s="75" t="s">
        <v>684</v>
      </c>
      <c r="P174" s="69">
        <v>2</v>
      </c>
      <c r="R174" s="77">
        <v>2020</v>
      </c>
      <c r="S174" s="75" t="s">
        <v>595</v>
      </c>
      <c r="T174" s="69">
        <v>1</v>
      </c>
    </row>
    <row r="175" spans="14:20" x14ac:dyDescent="0.25">
      <c r="N175" s="76">
        <v>2019</v>
      </c>
      <c r="O175" s="74" t="s">
        <v>684</v>
      </c>
      <c r="P175" s="70">
        <v>2</v>
      </c>
      <c r="R175" s="76">
        <v>2020</v>
      </c>
      <c r="S175" s="74" t="s">
        <v>595</v>
      </c>
      <c r="T175" s="70">
        <v>1</v>
      </c>
    </row>
    <row r="176" spans="14:20" x14ac:dyDescent="0.25">
      <c r="N176" s="77">
        <v>2019</v>
      </c>
      <c r="O176" s="75" t="s">
        <v>684</v>
      </c>
      <c r="P176" s="69">
        <v>2</v>
      </c>
      <c r="R176" s="77">
        <v>2020</v>
      </c>
      <c r="S176" s="75" t="s">
        <v>638</v>
      </c>
      <c r="T176" s="69">
        <v>118</v>
      </c>
    </row>
    <row r="177" spans="14:20" x14ac:dyDescent="0.25">
      <c r="N177" s="76">
        <v>2019</v>
      </c>
      <c r="O177" s="74" t="s">
        <v>684</v>
      </c>
      <c r="P177" s="70">
        <v>4</v>
      </c>
      <c r="R177" s="76">
        <v>2020</v>
      </c>
      <c r="S177" s="74" t="s">
        <v>559</v>
      </c>
      <c r="T177" s="70">
        <v>34000</v>
      </c>
    </row>
    <row r="178" spans="14:20" x14ac:dyDescent="0.25">
      <c r="N178" s="77">
        <v>2019</v>
      </c>
      <c r="O178" s="75" t="s">
        <v>573</v>
      </c>
      <c r="P178" s="69">
        <v>422</v>
      </c>
      <c r="R178" s="77">
        <v>2020</v>
      </c>
      <c r="S178" s="75" t="s">
        <v>559</v>
      </c>
      <c r="T178" s="69">
        <v>34600</v>
      </c>
    </row>
    <row r="179" spans="14:20" x14ac:dyDescent="0.25">
      <c r="N179" s="76">
        <v>2019</v>
      </c>
      <c r="O179" s="74" t="s">
        <v>573</v>
      </c>
      <c r="P179" s="70">
        <v>308292</v>
      </c>
      <c r="R179" s="76">
        <v>2020</v>
      </c>
      <c r="S179" s="74" t="s">
        <v>559</v>
      </c>
      <c r="T179" s="70">
        <v>44851</v>
      </c>
    </row>
    <row r="180" spans="14:20" x14ac:dyDescent="0.25">
      <c r="R180" s="77">
        <v>2020</v>
      </c>
      <c r="S180" s="75" t="s">
        <v>559</v>
      </c>
      <c r="T180" s="69">
        <v>5148</v>
      </c>
    </row>
    <row r="181" spans="14:20" x14ac:dyDescent="0.25">
      <c r="R181" s="76">
        <v>2020</v>
      </c>
      <c r="S181" s="74" t="s">
        <v>559</v>
      </c>
      <c r="T181" s="70">
        <v>20349</v>
      </c>
    </row>
    <row r="182" spans="14:20" x14ac:dyDescent="0.25">
      <c r="R182" s="77">
        <v>2020</v>
      </c>
      <c r="S182" s="75" t="s">
        <v>559</v>
      </c>
      <c r="T182" s="69">
        <v>4437</v>
      </c>
    </row>
    <row r="183" spans="14:20" x14ac:dyDescent="0.25">
      <c r="R183" s="76">
        <v>2020</v>
      </c>
      <c r="S183" s="74" t="s">
        <v>559</v>
      </c>
      <c r="T183" s="70">
        <v>4137</v>
      </c>
    </row>
    <row r="184" spans="14:20" x14ac:dyDescent="0.25">
      <c r="R184" s="77">
        <v>2020</v>
      </c>
      <c r="S184" s="75" t="s">
        <v>559</v>
      </c>
      <c r="T184" s="69">
        <v>7217</v>
      </c>
    </row>
    <row r="185" spans="14:20" x14ac:dyDescent="0.25">
      <c r="R185" s="76">
        <v>2020</v>
      </c>
      <c r="S185" s="74" t="s">
        <v>559</v>
      </c>
      <c r="T185" s="70">
        <v>6676</v>
      </c>
    </row>
    <row r="186" spans="14:20" x14ac:dyDescent="0.25">
      <c r="R186" s="77">
        <v>2020</v>
      </c>
      <c r="S186" s="75" t="s">
        <v>559</v>
      </c>
      <c r="T186" s="69">
        <v>6381</v>
      </c>
    </row>
    <row r="187" spans="14:20" x14ac:dyDescent="0.25">
      <c r="R187" s="76">
        <v>2020</v>
      </c>
      <c r="S187" s="74" t="s">
        <v>559</v>
      </c>
      <c r="T187" s="70">
        <v>2037</v>
      </c>
    </row>
    <row r="188" spans="14:20" x14ac:dyDescent="0.25">
      <c r="R188" s="77">
        <v>2020</v>
      </c>
      <c r="S188" s="75" t="s">
        <v>559</v>
      </c>
      <c r="T188" s="69">
        <v>4158</v>
      </c>
    </row>
    <row r="189" spans="14:20" x14ac:dyDescent="0.25">
      <c r="R189" s="76">
        <v>2020</v>
      </c>
      <c r="S189" s="74" t="s">
        <v>559</v>
      </c>
      <c r="T189" s="70">
        <v>11385</v>
      </c>
    </row>
    <row r="190" spans="14:20" x14ac:dyDescent="0.25">
      <c r="R190" s="77">
        <v>2020</v>
      </c>
      <c r="S190" s="75" t="s">
        <v>559</v>
      </c>
      <c r="T190" s="69">
        <v>90000</v>
      </c>
    </row>
    <row r="191" spans="14:20" x14ac:dyDescent="0.25">
      <c r="R191" s="76">
        <v>2020</v>
      </c>
      <c r="S191" s="74" t="s">
        <v>559</v>
      </c>
      <c r="T191" s="70">
        <v>8209</v>
      </c>
    </row>
    <row r="192" spans="14:20" x14ac:dyDescent="0.25">
      <c r="R192" s="77">
        <v>2020</v>
      </c>
      <c r="S192" s="75" t="s">
        <v>559</v>
      </c>
      <c r="T192" s="69">
        <v>8891</v>
      </c>
    </row>
    <row r="193" spans="18:20" x14ac:dyDescent="0.25">
      <c r="R193" s="76">
        <v>2020</v>
      </c>
      <c r="S193" s="74" t="s">
        <v>559</v>
      </c>
      <c r="T193" s="70">
        <v>5971</v>
      </c>
    </row>
    <row r="194" spans="18:20" x14ac:dyDescent="0.25">
      <c r="R194" s="77">
        <v>2020</v>
      </c>
      <c r="S194" s="75" t="s">
        <v>559</v>
      </c>
      <c r="T194" s="69">
        <v>2294</v>
      </c>
    </row>
    <row r="195" spans="18:20" x14ac:dyDescent="0.25">
      <c r="R195" s="76">
        <v>2020</v>
      </c>
      <c r="S195" s="74" t="s">
        <v>559</v>
      </c>
      <c r="T195" s="70">
        <v>3230</v>
      </c>
    </row>
    <row r="196" spans="18:20" x14ac:dyDescent="0.25">
      <c r="R196" s="77">
        <v>2020</v>
      </c>
      <c r="S196" s="75" t="s">
        <v>559</v>
      </c>
      <c r="T196" s="69">
        <v>2750</v>
      </c>
    </row>
    <row r="197" spans="18:20" x14ac:dyDescent="0.25">
      <c r="R197" s="76">
        <v>2020</v>
      </c>
      <c r="S197" s="74" t="s">
        <v>559</v>
      </c>
      <c r="T197" s="70">
        <v>2075</v>
      </c>
    </row>
    <row r="198" spans="18:20" x14ac:dyDescent="0.25">
      <c r="R198" s="77">
        <v>2020</v>
      </c>
      <c r="S198" s="75" t="s">
        <v>559</v>
      </c>
      <c r="T198" s="69">
        <v>2488</v>
      </c>
    </row>
    <row r="199" spans="18:20" x14ac:dyDescent="0.25">
      <c r="R199" s="76">
        <v>2020</v>
      </c>
      <c r="S199" s="74" t="s">
        <v>559</v>
      </c>
      <c r="T199" s="70">
        <v>1448</v>
      </c>
    </row>
    <row r="200" spans="18:20" x14ac:dyDescent="0.25">
      <c r="R200" s="77">
        <v>2020</v>
      </c>
      <c r="S200" s="75" t="s">
        <v>559</v>
      </c>
      <c r="T200" s="69">
        <v>1616</v>
      </c>
    </row>
    <row r="201" spans="18:20" x14ac:dyDescent="0.25">
      <c r="R201" s="76">
        <v>2020</v>
      </c>
      <c r="S201" s="74" t="s">
        <v>559</v>
      </c>
      <c r="T201" s="70">
        <v>1673</v>
      </c>
    </row>
    <row r="202" spans="18:20" x14ac:dyDescent="0.25">
      <c r="R202" s="77">
        <v>2020</v>
      </c>
      <c r="S202" s="75" t="s">
        <v>559</v>
      </c>
      <c r="T202" s="69">
        <v>1074</v>
      </c>
    </row>
    <row r="203" spans="18:20" x14ac:dyDescent="0.25">
      <c r="R203" s="76">
        <v>2020</v>
      </c>
      <c r="S203" s="74" t="s">
        <v>559</v>
      </c>
      <c r="T203" s="70">
        <v>2412</v>
      </c>
    </row>
    <row r="204" spans="18:20" x14ac:dyDescent="0.25">
      <c r="R204" s="77">
        <v>2020</v>
      </c>
      <c r="S204" s="75" t="s">
        <v>559</v>
      </c>
      <c r="T204" s="69">
        <v>1240</v>
      </c>
    </row>
    <row r="205" spans="18:20" x14ac:dyDescent="0.25">
      <c r="R205" s="76">
        <v>2020</v>
      </c>
      <c r="S205" s="74" t="s">
        <v>559</v>
      </c>
      <c r="T205" s="70">
        <v>1049</v>
      </c>
    </row>
    <row r="206" spans="18:20" x14ac:dyDescent="0.25">
      <c r="R206" s="77">
        <v>2020</v>
      </c>
      <c r="S206" s="75" t="s">
        <v>559</v>
      </c>
      <c r="T206" s="69">
        <v>377</v>
      </c>
    </row>
    <row r="207" spans="18:20" x14ac:dyDescent="0.25">
      <c r="R207" s="76">
        <v>2020</v>
      </c>
      <c r="S207" s="74" t="s">
        <v>559</v>
      </c>
      <c r="T207" s="70">
        <v>9400</v>
      </c>
    </row>
    <row r="208" spans="18:20" x14ac:dyDescent="0.25">
      <c r="R208" s="77">
        <v>2020</v>
      </c>
      <c r="S208" s="75" t="s">
        <v>670</v>
      </c>
      <c r="T208" s="69">
        <v>20</v>
      </c>
    </row>
    <row r="209" spans="18:20" x14ac:dyDescent="0.25">
      <c r="R209" s="76">
        <v>2020</v>
      </c>
      <c r="S209" s="74" t="s">
        <v>625</v>
      </c>
      <c r="T209" s="70">
        <v>255.37</v>
      </c>
    </row>
    <row r="210" spans="18:20" x14ac:dyDescent="0.25">
      <c r="R210" s="77">
        <v>2020</v>
      </c>
      <c r="S210" s="75" t="s">
        <v>867</v>
      </c>
      <c r="T210" s="69">
        <v>553</v>
      </c>
    </row>
    <row r="211" spans="18:20" x14ac:dyDescent="0.25">
      <c r="R211" s="76">
        <v>2020</v>
      </c>
      <c r="S211" s="74" t="s">
        <v>867</v>
      </c>
      <c r="T211" s="70">
        <v>584</v>
      </c>
    </row>
    <row r="212" spans="18:20" x14ac:dyDescent="0.25">
      <c r="R212" s="77">
        <v>2020</v>
      </c>
      <c r="S212" s="75" t="s">
        <v>625</v>
      </c>
      <c r="T212" s="69">
        <v>0</v>
      </c>
    </row>
    <row r="213" spans="18:20" x14ac:dyDescent="0.25">
      <c r="R213" s="76">
        <v>2020</v>
      </c>
      <c r="S213" s="74" t="s">
        <v>625</v>
      </c>
      <c r="T213" s="70">
        <v>0</v>
      </c>
    </row>
    <row r="214" spans="18:20" x14ac:dyDescent="0.25">
      <c r="R214" s="77">
        <v>2020</v>
      </c>
      <c r="S214" s="75" t="s">
        <v>867</v>
      </c>
      <c r="T214" s="69">
        <v>140</v>
      </c>
    </row>
    <row r="215" spans="18:20" x14ac:dyDescent="0.25">
      <c r="R215" s="76">
        <v>2020</v>
      </c>
      <c r="S215" s="74" t="s">
        <v>867</v>
      </c>
      <c r="T215" s="70">
        <v>65</v>
      </c>
    </row>
    <row r="216" spans="18:20" x14ac:dyDescent="0.25">
      <c r="R216" s="77">
        <v>2020</v>
      </c>
      <c r="S216" s="75" t="s">
        <v>867</v>
      </c>
      <c r="T216" s="69">
        <v>157</v>
      </c>
    </row>
    <row r="217" spans="18:20" x14ac:dyDescent="0.25">
      <c r="R217" s="76">
        <v>2020</v>
      </c>
      <c r="S217" s="74" t="s">
        <v>867</v>
      </c>
      <c r="T217" s="70">
        <v>156</v>
      </c>
    </row>
    <row r="218" spans="18:20" x14ac:dyDescent="0.25">
      <c r="R218" s="77">
        <v>2020</v>
      </c>
      <c r="S218" s="75" t="s">
        <v>867</v>
      </c>
      <c r="T218" s="69">
        <v>82</v>
      </c>
    </row>
    <row r="219" spans="18:20" x14ac:dyDescent="0.25">
      <c r="R219" s="76">
        <v>2020</v>
      </c>
      <c r="S219" s="74" t="s">
        <v>867</v>
      </c>
      <c r="T219" s="70">
        <v>166</v>
      </c>
    </row>
    <row r="220" spans="18:20" x14ac:dyDescent="0.25">
      <c r="R220" s="77">
        <v>2020</v>
      </c>
      <c r="S220" s="75" t="s">
        <v>867</v>
      </c>
      <c r="T220" s="69">
        <v>156</v>
      </c>
    </row>
    <row r="221" spans="18:20" x14ac:dyDescent="0.25">
      <c r="R221" s="76">
        <v>2020</v>
      </c>
      <c r="S221" s="74" t="s">
        <v>867</v>
      </c>
      <c r="T221" s="70">
        <v>130</v>
      </c>
    </row>
    <row r="222" spans="18:20" x14ac:dyDescent="0.25">
      <c r="R222" s="77">
        <v>2020</v>
      </c>
      <c r="S222" s="75" t="s">
        <v>867</v>
      </c>
      <c r="T222" s="69">
        <v>503</v>
      </c>
    </row>
    <row r="223" spans="18:20" x14ac:dyDescent="0.25">
      <c r="R223" s="76">
        <v>2020</v>
      </c>
      <c r="S223" s="74" t="s">
        <v>867</v>
      </c>
      <c r="T223" s="70">
        <v>1121</v>
      </c>
    </row>
    <row r="224" spans="18:20" x14ac:dyDescent="0.25">
      <c r="R224" s="77">
        <v>2020</v>
      </c>
      <c r="S224" s="75" t="s">
        <v>867</v>
      </c>
      <c r="T224" s="69">
        <v>1451</v>
      </c>
    </row>
    <row r="225" spans="18:20" x14ac:dyDescent="0.25">
      <c r="R225" s="76">
        <v>2020</v>
      </c>
      <c r="S225" s="74" t="s">
        <v>867</v>
      </c>
      <c r="T225" s="70">
        <v>750</v>
      </c>
    </row>
    <row r="226" spans="18:20" x14ac:dyDescent="0.25">
      <c r="R226" s="77">
        <v>2020</v>
      </c>
      <c r="S226" s="75" t="s">
        <v>867</v>
      </c>
      <c r="T226" s="69">
        <v>781</v>
      </c>
    </row>
    <row r="227" spans="18:20" x14ac:dyDescent="0.25">
      <c r="R227" s="76">
        <v>2020</v>
      </c>
      <c r="S227" s="74" t="s">
        <v>867</v>
      </c>
      <c r="T227" s="70">
        <v>254</v>
      </c>
    </row>
    <row r="228" spans="18:20" x14ac:dyDescent="0.25">
      <c r="R228" s="77">
        <v>2020</v>
      </c>
      <c r="S228" s="75" t="s">
        <v>867</v>
      </c>
      <c r="T228" s="69">
        <v>264</v>
      </c>
    </row>
    <row r="229" spans="18:20" x14ac:dyDescent="0.25">
      <c r="R229" s="76">
        <v>2020</v>
      </c>
      <c r="S229" s="74" t="s">
        <v>571</v>
      </c>
      <c r="T229" s="70">
        <v>164</v>
      </c>
    </row>
    <row r="230" spans="18:20" x14ac:dyDescent="0.25">
      <c r="R230" s="77">
        <v>2020</v>
      </c>
      <c r="S230" s="75" t="s">
        <v>571</v>
      </c>
      <c r="T230" s="69">
        <v>744</v>
      </c>
    </row>
    <row r="231" spans="18:20" x14ac:dyDescent="0.25">
      <c r="R231" s="76">
        <v>2020</v>
      </c>
      <c r="S231" s="74" t="s">
        <v>571</v>
      </c>
      <c r="T231" s="70">
        <v>435</v>
      </c>
    </row>
    <row r="232" spans="18:20" x14ac:dyDescent="0.25">
      <c r="R232" s="77">
        <v>2020</v>
      </c>
      <c r="S232" s="75" t="s">
        <v>680</v>
      </c>
      <c r="T232" s="69">
        <v>3</v>
      </c>
    </row>
    <row r="233" spans="18:20" x14ac:dyDescent="0.25">
      <c r="R233" s="76">
        <v>2020</v>
      </c>
      <c r="S233" s="74" t="s">
        <v>678</v>
      </c>
      <c r="T233" s="70">
        <v>1</v>
      </c>
    </row>
    <row r="234" spans="18:20" x14ac:dyDescent="0.25">
      <c r="R234" s="77">
        <v>2020</v>
      </c>
      <c r="S234" s="75" t="s">
        <v>636</v>
      </c>
      <c r="T234" s="69">
        <v>2.5</v>
      </c>
    </row>
    <row r="235" spans="18:20" x14ac:dyDescent="0.25">
      <c r="R235" s="76">
        <v>2020</v>
      </c>
      <c r="S235" s="74" t="s">
        <v>636</v>
      </c>
      <c r="T235" s="70">
        <v>3.5</v>
      </c>
    </row>
    <row r="236" spans="18:20" x14ac:dyDescent="0.25">
      <c r="R236" s="77">
        <v>2020</v>
      </c>
      <c r="S236" s="75" t="s">
        <v>617</v>
      </c>
      <c r="T236" s="69">
        <v>1</v>
      </c>
    </row>
    <row r="237" spans="18:20" x14ac:dyDescent="0.25">
      <c r="R237" s="76">
        <v>2020</v>
      </c>
      <c r="S237" s="74" t="s">
        <v>703</v>
      </c>
      <c r="T237" s="70">
        <v>1.72364E-3</v>
      </c>
    </row>
    <row r="238" spans="18:20" x14ac:dyDescent="0.25">
      <c r="R238" s="77">
        <v>2020</v>
      </c>
      <c r="S238" s="75" t="s">
        <v>617</v>
      </c>
      <c r="T238" s="69">
        <v>1</v>
      </c>
    </row>
    <row r="239" spans="18:20" x14ac:dyDescent="0.25">
      <c r="R239" s="76">
        <v>2020</v>
      </c>
      <c r="S239" s="74" t="s">
        <v>654</v>
      </c>
      <c r="T239" s="70">
        <v>650</v>
      </c>
    </row>
    <row r="240" spans="18:20" x14ac:dyDescent="0.25">
      <c r="R240" s="77">
        <v>2020</v>
      </c>
      <c r="S240" s="75" t="s">
        <v>654</v>
      </c>
      <c r="T240" s="69">
        <v>1700</v>
      </c>
    </row>
    <row r="241" spans="18:20" x14ac:dyDescent="0.25">
      <c r="R241" s="76">
        <v>2020</v>
      </c>
      <c r="S241" s="74" t="s">
        <v>682</v>
      </c>
      <c r="T241" s="70">
        <v>20</v>
      </c>
    </row>
    <row r="242" spans="18:20" x14ac:dyDescent="0.25">
      <c r="R242" s="77">
        <v>2020</v>
      </c>
      <c r="S242" s="75" t="s">
        <v>682</v>
      </c>
      <c r="T242" s="69">
        <v>0</v>
      </c>
    </row>
    <row r="243" spans="18:20" x14ac:dyDescent="0.25">
      <c r="R243" s="76">
        <v>2020</v>
      </c>
      <c r="S243" s="74" t="s">
        <v>682</v>
      </c>
      <c r="T243" s="70">
        <v>56</v>
      </c>
    </row>
    <row r="244" spans="18:20" x14ac:dyDescent="0.25">
      <c r="R244" s="77">
        <v>2020</v>
      </c>
      <c r="S244" s="75" t="s">
        <v>682</v>
      </c>
      <c r="T244" s="69">
        <v>20</v>
      </c>
    </row>
    <row r="245" spans="18:20" x14ac:dyDescent="0.25">
      <c r="R245" s="76">
        <v>2020</v>
      </c>
      <c r="S245" s="74" t="s">
        <v>682</v>
      </c>
      <c r="T245" s="70">
        <v>108</v>
      </c>
    </row>
    <row r="246" spans="18:20" x14ac:dyDescent="0.25">
      <c r="R246" s="77">
        <v>2020</v>
      </c>
      <c r="S246" s="75" t="s">
        <v>682</v>
      </c>
      <c r="T246" s="69">
        <v>34</v>
      </c>
    </row>
    <row r="247" spans="18:20" x14ac:dyDescent="0.25">
      <c r="R247" s="76">
        <v>2020</v>
      </c>
      <c r="S247" s="74" t="s">
        <v>664</v>
      </c>
      <c r="T247" s="70">
        <v>1</v>
      </c>
    </row>
    <row r="248" spans="18:20" x14ac:dyDescent="0.25">
      <c r="R248" s="77">
        <v>2020</v>
      </c>
      <c r="S248" s="75" t="s">
        <v>664</v>
      </c>
      <c r="T248" s="69">
        <v>1</v>
      </c>
    </row>
    <row r="249" spans="18:20" x14ac:dyDescent="0.25">
      <c r="R249" s="76">
        <v>2020</v>
      </c>
      <c r="S249" s="74" t="s">
        <v>668</v>
      </c>
      <c r="T249" s="70">
        <v>78</v>
      </c>
    </row>
    <row r="250" spans="18:20" x14ac:dyDescent="0.25">
      <c r="R250" s="77">
        <v>2020</v>
      </c>
      <c r="S250" s="75" t="s">
        <v>868</v>
      </c>
      <c r="T250" s="69">
        <v>1</v>
      </c>
    </row>
    <row r="251" spans="18:20" x14ac:dyDescent="0.25">
      <c r="R251" s="76">
        <v>2020</v>
      </c>
      <c r="S251" s="74" t="s">
        <v>868</v>
      </c>
      <c r="T251" s="70">
        <v>1</v>
      </c>
    </row>
    <row r="252" spans="18:20" x14ac:dyDescent="0.25">
      <c r="R252" s="77">
        <v>2020</v>
      </c>
      <c r="S252" s="75" t="s">
        <v>868</v>
      </c>
      <c r="T252" s="69">
        <v>1</v>
      </c>
    </row>
    <row r="253" spans="18:20" x14ac:dyDescent="0.25">
      <c r="R253" s="76">
        <v>2020</v>
      </c>
      <c r="S253" s="74" t="s">
        <v>868</v>
      </c>
      <c r="T253" s="70">
        <v>1</v>
      </c>
    </row>
    <row r="254" spans="18:20" x14ac:dyDescent="0.25">
      <c r="R254" s="77">
        <v>2020</v>
      </c>
      <c r="S254" s="75" t="s">
        <v>868</v>
      </c>
      <c r="T254" s="69">
        <v>1</v>
      </c>
    </row>
    <row r="255" spans="18:20" x14ac:dyDescent="0.25">
      <c r="R255" s="76">
        <v>2020</v>
      </c>
      <c r="S255" s="74" t="s">
        <v>868</v>
      </c>
      <c r="T255" s="70">
        <v>1</v>
      </c>
    </row>
    <row r="256" spans="18:20" x14ac:dyDescent="0.25">
      <c r="R256" s="77">
        <v>2020</v>
      </c>
      <c r="S256" s="75" t="s">
        <v>868</v>
      </c>
      <c r="T256" s="69">
        <v>1</v>
      </c>
    </row>
    <row r="257" spans="18:20" x14ac:dyDescent="0.25">
      <c r="R257" s="76">
        <v>2020</v>
      </c>
      <c r="S257" s="74" t="s">
        <v>868</v>
      </c>
      <c r="T257" s="70">
        <v>1</v>
      </c>
    </row>
    <row r="258" spans="18:20" x14ac:dyDescent="0.25">
      <c r="R258" s="77">
        <v>2020</v>
      </c>
      <c r="S258" s="75" t="s">
        <v>868</v>
      </c>
      <c r="T258" s="69">
        <v>1</v>
      </c>
    </row>
    <row r="259" spans="18:20" x14ac:dyDescent="0.25">
      <c r="R259" s="76">
        <v>2020</v>
      </c>
      <c r="S259" s="74" t="s">
        <v>868</v>
      </c>
      <c r="T259" s="70">
        <v>1</v>
      </c>
    </row>
    <row r="260" spans="18:20" x14ac:dyDescent="0.25">
      <c r="R260" s="77">
        <v>2020</v>
      </c>
      <c r="S260" s="75" t="s">
        <v>868</v>
      </c>
      <c r="T260" s="69">
        <v>1</v>
      </c>
    </row>
    <row r="261" spans="18:20" x14ac:dyDescent="0.25">
      <c r="R261" s="76">
        <v>2020</v>
      </c>
      <c r="S261" s="74" t="s">
        <v>868</v>
      </c>
      <c r="T261" s="70">
        <v>1</v>
      </c>
    </row>
    <row r="262" spans="18:20" x14ac:dyDescent="0.25">
      <c r="R262" s="77">
        <v>2020</v>
      </c>
      <c r="S262" s="75" t="s">
        <v>868</v>
      </c>
      <c r="T262" s="69">
        <v>1</v>
      </c>
    </row>
    <row r="263" spans="18:20" x14ac:dyDescent="0.25">
      <c r="R263" s="76">
        <v>2020</v>
      </c>
      <c r="S263" s="74" t="s">
        <v>868</v>
      </c>
      <c r="T263" s="70">
        <v>1</v>
      </c>
    </row>
    <row r="264" spans="18:20" x14ac:dyDescent="0.25">
      <c r="R264" s="77">
        <v>2020</v>
      </c>
      <c r="S264" s="75" t="s">
        <v>868</v>
      </c>
      <c r="T264" s="69">
        <v>1</v>
      </c>
    </row>
    <row r="265" spans="18:20" x14ac:dyDescent="0.25">
      <c r="R265" s="76">
        <v>2020</v>
      </c>
      <c r="S265" s="74" t="s">
        <v>868</v>
      </c>
      <c r="T265" s="70">
        <v>1</v>
      </c>
    </row>
    <row r="266" spans="18:20" x14ac:dyDescent="0.25">
      <c r="R266" s="77">
        <v>2020</v>
      </c>
      <c r="S266" s="75" t="s">
        <v>868</v>
      </c>
      <c r="T266" s="69">
        <v>1</v>
      </c>
    </row>
    <row r="267" spans="18:20" x14ac:dyDescent="0.25">
      <c r="R267" s="76">
        <v>2020</v>
      </c>
      <c r="S267" s="74" t="s">
        <v>573</v>
      </c>
      <c r="T267" s="70">
        <v>425</v>
      </c>
    </row>
    <row r="268" spans="18:20" x14ac:dyDescent="0.25">
      <c r="R268" s="77">
        <v>2020</v>
      </c>
      <c r="S268" s="75" t="s">
        <v>573</v>
      </c>
      <c r="T268" s="69">
        <v>506</v>
      </c>
    </row>
    <row r="269" spans="18:20" x14ac:dyDescent="0.25">
      <c r="R269" s="76">
        <v>2020</v>
      </c>
      <c r="S269" s="74" t="s">
        <v>684</v>
      </c>
      <c r="T269" s="70">
        <v>2</v>
      </c>
    </row>
    <row r="270" spans="18:20" x14ac:dyDescent="0.25">
      <c r="R270" s="77">
        <v>2020</v>
      </c>
      <c r="S270" s="75" t="s">
        <v>684</v>
      </c>
      <c r="T270" s="69">
        <v>2</v>
      </c>
    </row>
    <row r="271" spans="18:20" x14ac:dyDescent="0.25">
      <c r="R271" s="76">
        <v>2020</v>
      </c>
      <c r="S271" s="74" t="s">
        <v>684</v>
      </c>
      <c r="T271" s="70">
        <v>6</v>
      </c>
    </row>
    <row r="272" spans="18:20" x14ac:dyDescent="0.25">
      <c r="R272" s="77">
        <v>2020</v>
      </c>
      <c r="S272" s="75" t="s">
        <v>684</v>
      </c>
      <c r="T272" s="69">
        <v>2</v>
      </c>
    </row>
    <row r="273" spans="18:20" x14ac:dyDescent="0.25">
      <c r="R273" s="76">
        <v>2020</v>
      </c>
      <c r="S273" s="74" t="s">
        <v>684</v>
      </c>
      <c r="T273" s="70">
        <v>3</v>
      </c>
    </row>
    <row r="274" spans="18:20" x14ac:dyDescent="0.25">
      <c r="R274" s="77">
        <v>2020</v>
      </c>
      <c r="S274" s="75" t="s">
        <v>684</v>
      </c>
      <c r="T274" s="69">
        <v>8</v>
      </c>
    </row>
    <row r="275" spans="18:20" x14ac:dyDescent="0.25">
      <c r="R275" s="76">
        <v>2020</v>
      </c>
      <c r="S275" s="74" t="s">
        <v>611</v>
      </c>
      <c r="T275" s="70">
        <v>7.62</v>
      </c>
    </row>
    <row r="276" spans="18:20" x14ac:dyDescent="0.25">
      <c r="R276" s="77">
        <v>2020</v>
      </c>
      <c r="S276" s="75" t="s">
        <v>611</v>
      </c>
      <c r="T276" s="69">
        <v>4.508</v>
      </c>
    </row>
  </sheetData>
  <autoFilter ref="AD2:AF1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85"/>
  <sheetViews>
    <sheetView workbookViewId="0">
      <selection activeCell="G14" sqref="G14"/>
    </sheetView>
  </sheetViews>
  <sheetFormatPr defaultRowHeight="15" x14ac:dyDescent="0.25"/>
  <cols>
    <col min="2" max="4" width="11.85546875" customWidth="1"/>
    <col min="5" max="6" width="9.140625" style="4"/>
    <col min="8" max="8" width="9.140625" style="4"/>
    <col min="11" max="11" width="9.140625" style="4"/>
    <col min="13" max="13" width="9.140625" style="4"/>
    <col min="17" max="17" width="11.85546875" customWidth="1"/>
    <col min="22" max="22" width="11.85546875" customWidth="1"/>
    <col min="27" max="27" width="11.85546875" customWidth="1"/>
    <col min="32" max="32" width="11.85546875" customWidth="1"/>
    <col min="37" max="37" width="11.85546875" customWidth="1"/>
    <col min="42" max="42" width="11.85546875" customWidth="1"/>
  </cols>
  <sheetData>
    <row r="1" spans="1:42" s="4" customFormat="1" x14ac:dyDescent="0.25">
      <c r="A1"/>
      <c r="B1"/>
      <c r="C1"/>
      <c r="D1"/>
      <c r="F1"/>
      <c r="G1"/>
      <c r="I1"/>
      <c r="J1"/>
      <c r="L1"/>
      <c r="M1"/>
      <c r="N1"/>
      <c r="O1"/>
      <c r="P1"/>
      <c r="Q1"/>
      <c r="R1"/>
      <c r="S1"/>
      <c r="T1"/>
      <c r="U1"/>
      <c r="V1"/>
      <c r="W1"/>
      <c r="X1"/>
      <c r="Y1"/>
      <c r="Z1"/>
      <c r="AA1"/>
      <c r="AB1"/>
      <c r="AC1"/>
      <c r="AD1"/>
      <c r="AE1"/>
      <c r="AF1"/>
      <c r="AG1"/>
      <c r="AH1"/>
      <c r="AI1"/>
      <c r="AJ1"/>
      <c r="AK1"/>
      <c r="AL1"/>
      <c r="AM1" t="s">
        <v>886</v>
      </c>
      <c r="AN1" t="s">
        <v>1410</v>
      </c>
      <c r="AO1" s="66" t="s">
        <v>884</v>
      </c>
      <c r="AP1" s="66" t="s">
        <v>885</v>
      </c>
    </row>
    <row r="2" spans="1:42" x14ac:dyDescent="0.25">
      <c r="B2" t="s">
        <v>885</v>
      </c>
      <c r="C2" t="s">
        <v>886</v>
      </c>
      <c r="D2" t="s">
        <v>1410</v>
      </c>
      <c r="F2"/>
      <c r="M2"/>
      <c r="AO2" s="62">
        <v>2.903</v>
      </c>
    </row>
    <row r="3" spans="1:42" x14ac:dyDescent="0.25">
      <c r="B3" s="68">
        <v>2020</v>
      </c>
      <c r="C3" t="s">
        <v>561</v>
      </c>
      <c r="D3">
        <v>304000</v>
      </c>
      <c r="H3" s="68"/>
      <c r="K3" s="68"/>
      <c r="M3"/>
      <c r="AO3" s="61">
        <v>15858</v>
      </c>
    </row>
    <row r="4" spans="1:42" x14ac:dyDescent="0.25">
      <c r="B4" s="68">
        <v>2019</v>
      </c>
      <c r="C4" t="s">
        <v>563</v>
      </c>
      <c r="D4">
        <v>5700</v>
      </c>
      <c r="H4" s="68"/>
      <c r="K4" s="68"/>
      <c r="M4"/>
      <c r="AO4" s="63">
        <v>131</v>
      </c>
    </row>
    <row r="5" spans="1:42" x14ac:dyDescent="0.25">
      <c r="B5" s="68">
        <v>2015</v>
      </c>
      <c r="C5" t="s">
        <v>563</v>
      </c>
      <c r="D5">
        <v>3073</v>
      </c>
      <c r="H5" s="68"/>
      <c r="K5" s="68"/>
      <c r="M5"/>
      <c r="AO5" s="65">
        <v>478</v>
      </c>
    </row>
    <row r="6" spans="1:42" x14ac:dyDescent="0.25">
      <c r="B6" s="68">
        <v>2023</v>
      </c>
      <c r="C6" t="s">
        <v>561</v>
      </c>
      <c r="D6">
        <v>29000</v>
      </c>
      <c r="H6" s="68"/>
      <c r="K6" s="68"/>
      <c r="M6"/>
      <c r="AO6" s="62">
        <v>1</v>
      </c>
    </row>
    <row r="7" spans="1:42" x14ac:dyDescent="0.25">
      <c r="B7" s="68">
        <v>2017</v>
      </c>
      <c r="C7" t="s">
        <v>581</v>
      </c>
      <c r="D7">
        <v>1</v>
      </c>
      <c r="H7" s="68"/>
      <c r="K7" s="68"/>
      <c r="M7"/>
      <c r="AO7" s="62">
        <v>1</v>
      </c>
      <c r="AP7">
        <v>2</v>
      </c>
    </row>
    <row r="8" spans="1:42" x14ac:dyDescent="0.25">
      <c r="B8" s="68">
        <v>2021</v>
      </c>
      <c r="C8" t="s">
        <v>563</v>
      </c>
      <c r="D8">
        <v>646</v>
      </c>
      <c r="H8" s="68"/>
      <c r="K8" s="68"/>
      <c r="M8"/>
      <c r="AO8" s="61">
        <v>1</v>
      </c>
    </row>
    <row r="9" spans="1:42" x14ac:dyDescent="0.25">
      <c r="B9" s="68">
        <v>2019</v>
      </c>
      <c r="C9" t="s">
        <v>581</v>
      </c>
      <c r="D9">
        <v>1</v>
      </c>
      <c r="H9" s="68"/>
      <c r="K9" s="68"/>
      <c r="M9"/>
      <c r="AO9" s="62">
        <v>1</v>
      </c>
      <c r="AP9">
        <v>2</v>
      </c>
    </row>
    <row r="10" spans="1:42" x14ac:dyDescent="0.25">
      <c r="B10" s="68">
        <v>2020</v>
      </c>
      <c r="C10" t="s">
        <v>581</v>
      </c>
      <c r="D10">
        <v>1</v>
      </c>
      <c r="H10" s="68"/>
      <c r="K10" s="68"/>
      <c r="M10"/>
      <c r="AO10" s="65">
        <v>0.65</v>
      </c>
    </row>
    <row r="11" spans="1:42" x14ac:dyDescent="0.25">
      <c r="B11" s="68">
        <v>2023</v>
      </c>
      <c r="C11" t="s">
        <v>563</v>
      </c>
      <c r="D11">
        <v>494</v>
      </c>
      <c r="H11" s="68"/>
      <c r="K11" s="68"/>
      <c r="M11"/>
      <c r="AO11" s="62">
        <v>17</v>
      </c>
    </row>
    <row r="12" spans="1:42" x14ac:dyDescent="0.25">
      <c r="B12" s="68">
        <v>2018</v>
      </c>
      <c r="C12" t="s">
        <v>581</v>
      </c>
      <c r="D12">
        <v>1</v>
      </c>
      <c r="H12" s="68"/>
      <c r="K12" s="68"/>
      <c r="M12"/>
      <c r="AO12" s="63">
        <v>3</v>
      </c>
    </row>
    <row r="13" spans="1:42" x14ac:dyDescent="0.25">
      <c r="B13" s="68">
        <v>2018</v>
      </c>
      <c r="C13" t="s">
        <v>581</v>
      </c>
      <c r="D13">
        <v>1</v>
      </c>
      <c r="H13" s="68"/>
      <c r="K13" s="68"/>
      <c r="M13"/>
      <c r="AO13" s="64">
        <v>7.9899999999999999E-2</v>
      </c>
    </row>
    <row r="14" spans="1:42" x14ac:dyDescent="0.25">
      <c r="B14" s="68">
        <v>2018</v>
      </c>
      <c r="C14" t="s">
        <v>581</v>
      </c>
      <c r="D14">
        <v>1</v>
      </c>
      <c r="H14" s="68"/>
      <c r="K14" s="68"/>
      <c r="M14"/>
      <c r="AO14" s="63">
        <v>1</v>
      </c>
    </row>
    <row r="15" spans="1:42" x14ac:dyDescent="0.25">
      <c r="B15" s="68">
        <v>2018</v>
      </c>
      <c r="C15" t="s">
        <v>561</v>
      </c>
      <c r="D15">
        <v>45254.62</v>
      </c>
      <c r="H15" s="68"/>
      <c r="K15" s="68"/>
      <c r="M15"/>
      <c r="AO15" s="62">
        <v>1</v>
      </c>
    </row>
    <row r="16" spans="1:42" x14ac:dyDescent="0.25">
      <c r="B16" s="68">
        <v>2021</v>
      </c>
      <c r="C16" t="s">
        <v>561</v>
      </c>
      <c r="D16">
        <v>48650</v>
      </c>
      <c r="H16" s="68"/>
      <c r="K16" s="68"/>
      <c r="M16"/>
    </row>
    <row r="17" spans="2:13" x14ac:dyDescent="0.25">
      <c r="B17" s="68">
        <v>2017</v>
      </c>
      <c r="C17" t="s">
        <v>561</v>
      </c>
      <c r="D17">
        <v>15858</v>
      </c>
      <c r="H17" s="68"/>
      <c r="K17" s="68"/>
      <c r="M17"/>
    </row>
    <row r="18" spans="2:13" x14ac:dyDescent="0.25">
      <c r="B18" s="68">
        <v>2018</v>
      </c>
      <c r="C18" t="s">
        <v>561</v>
      </c>
      <c r="D18">
        <v>29432</v>
      </c>
      <c r="H18" s="68"/>
      <c r="K18" s="68"/>
      <c r="M18"/>
    </row>
    <row r="19" spans="2:13" x14ac:dyDescent="0.25">
      <c r="B19" s="68">
        <v>2023</v>
      </c>
      <c r="C19" t="s">
        <v>561</v>
      </c>
      <c r="D19">
        <v>20000</v>
      </c>
      <c r="H19" s="68"/>
      <c r="K19" s="68"/>
      <c r="M19"/>
    </row>
    <row r="20" spans="2:13" x14ac:dyDescent="0.25">
      <c r="B20" s="68">
        <v>2023</v>
      </c>
      <c r="C20" t="s">
        <v>561</v>
      </c>
      <c r="D20">
        <v>19419</v>
      </c>
      <c r="H20" s="68"/>
      <c r="K20" s="68"/>
      <c r="M20"/>
    </row>
    <row r="21" spans="2:13" x14ac:dyDescent="0.25">
      <c r="B21" s="68">
        <v>2018</v>
      </c>
      <c r="C21" t="s">
        <v>561</v>
      </c>
      <c r="D21">
        <v>2025</v>
      </c>
      <c r="H21" s="68"/>
      <c r="K21" s="68"/>
      <c r="M21"/>
    </row>
    <row r="22" spans="2:13" x14ac:dyDescent="0.25">
      <c r="B22" s="68">
        <v>2020</v>
      </c>
      <c r="C22" t="s">
        <v>561</v>
      </c>
      <c r="D22">
        <v>8821.7199999999993</v>
      </c>
      <c r="H22" s="68"/>
      <c r="K22" s="68"/>
      <c r="M22"/>
    </row>
    <row r="23" spans="2:13" x14ac:dyDescent="0.25">
      <c r="B23" s="68">
        <v>2020</v>
      </c>
      <c r="C23" t="s">
        <v>561</v>
      </c>
      <c r="D23">
        <v>509851.88</v>
      </c>
      <c r="H23" s="68"/>
      <c r="K23" s="68"/>
      <c r="M23"/>
    </row>
    <row r="24" spans="2:13" x14ac:dyDescent="0.25">
      <c r="B24" s="68">
        <v>2020</v>
      </c>
      <c r="C24" t="s">
        <v>561</v>
      </c>
      <c r="D24">
        <v>35000</v>
      </c>
      <c r="H24" s="68"/>
      <c r="K24" s="68"/>
      <c r="M24"/>
    </row>
    <row r="25" spans="2:13" x14ac:dyDescent="0.25">
      <c r="B25" s="68">
        <v>2020</v>
      </c>
      <c r="C25" t="s">
        <v>561</v>
      </c>
      <c r="D25">
        <v>15200</v>
      </c>
      <c r="H25" s="68"/>
      <c r="K25" s="68"/>
      <c r="M25"/>
    </row>
    <row r="26" spans="2:13" x14ac:dyDescent="0.25">
      <c r="B26" s="68">
        <v>2019</v>
      </c>
      <c r="C26" t="s">
        <v>561</v>
      </c>
      <c r="D26">
        <v>141600</v>
      </c>
      <c r="H26" s="68"/>
      <c r="K26" s="68"/>
      <c r="M26"/>
    </row>
    <row r="27" spans="2:13" x14ac:dyDescent="0.25">
      <c r="B27" s="68">
        <v>2020</v>
      </c>
      <c r="C27" t="s">
        <v>563</v>
      </c>
      <c r="D27">
        <v>147</v>
      </c>
      <c r="H27" s="68"/>
      <c r="K27" s="68"/>
      <c r="M27"/>
    </row>
    <row r="28" spans="2:13" x14ac:dyDescent="0.25">
      <c r="B28" s="68">
        <v>2020</v>
      </c>
      <c r="C28" t="s">
        <v>561</v>
      </c>
      <c r="D28">
        <v>68477</v>
      </c>
      <c r="H28" s="68"/>
      <c r="K28" s="68"/>
      <c r="M28"/>
    </row>
    <row r="29" spans="2:13" x14ac:dyDescent="0.25">
      <c r="B29" s="68">
        <v>2018</v>
      </c>
      <c r="C29" t="s">
        <v>561</v>
      </c>
      <c r="D29">
        <v>10246.01</v>
      </c>
      <c r="H29" s="68"/>
      <c r="K29" s="68"/>
      <c r="M29"/>
    </row>
    <row r="30" spans="2:13" x14ac:dyDescent="0.25">
      <c r="B30" s="68">
        <v>2018</v>
      </c>
      <c r="C30" t="s">
        <v>561</v>
      </c>
      <c r="D30">
        <v>58156</v>
      </c>
      <c r="H30" s="68"/>
      <c r="K30" s="68"/>
      <c r="M30"/>
    </row>
    <row r="31" spans="2:13" x14ac:dyDescent="0.25">
      <c r="B31" s="68">
        <v>2018</v>
      </c>
      <c r="C31" t="s">
        <v>561</v>
      </c>
      <c r="D31">
        <v>40001</v>
      </c>
      <c r="H31" s="68"/>
      <c r="K31" s="68"/>
      <c r="M31"/>
    </row>
    <row r="32" spans="2:13" x14ac:dyDescent="0.25">
      <c r="B32" s="68">
        <v>2019</v>
      </c>
      <c r="C32" t="s">
        <v>561</v>
      </c>
      <c r="D32">
        <v>10015</v>
      </c>
      <c r="H32" s="68"/>
      <c r="K32" s="68"/>
      <c r="M32"/>
    </row>
    <row r="33" spans="2:13" x14ac:dyDescent="0.25">
      <c r="B33" s="68">
        <v>2020</v>
      </c>
      <c r="C33" t="s">
        <v>561</v>
      </c>
      <c r="D33">
        <v>56350</v>
      </c>
      <c r="H33" s="68"/>
      <c r="K33" s="68"/>
      <c r="M33"/>
    </row>
    <row r="34" spans="2:13" x14ac:dyDescent="0.25">
      <c r="B34" s="68">
        <v>2019</v>
      </c>
      <c r="C34" t="s">
        <v>557</v>
      </c>
      <c r="D34">
        <v>0.65</v>
      </c>
      <c r="H34" s="68"/>
      <c r="K34" s="68"/>
      <c r="M34"/>
    </row>
    <row r="35" spans="2:13" x14ac:dyDescent="0.25">
      <c r="B35" s="68">
        <v>2018</v>
      </c>
      <c r="C35" t="s">
        <v>557</v>
      </c>
      <c r="D35">
        <v>2.903</v>
      </c>
      <c r="K35" s="68"/>
      <c r="M35"/>
    </row>
    <row r="36" spans="2:13" x14ac:dyDescent="0.25">
      <c r="B36" s="68">
        <v>2019</v>
      </c>
      <c r="C36" t="s">
        <v>557</v>
      </c>
      <c r="D36">
        <v>1.2858000000000001</v>
      </c>
      <c r="K36" s="68"/>
      <c r="M36"/>
    </row>
    <row r="37" spans="2:13" x14ac:dyDescent="0.25">
      <c r="B37" s="68">
        <v>2020</v>
      </c>
      <c r="C37" t="s">
        <v>557</v>
      </c>
      <c r="D37">
        <v>3.69</v>
      </c>
      <c r="K37" s="68"/>
      <c r="M37"/>
    </row>
    <row r="38" spans="2:13" x14ac:dyDescent="0.25">
      <c r="B38" s="68">
        <v>2020</v>
      </c>
      <c r="C38" t="s">
        <v>603</v>
      </c>
      <c r="D38">
        <v>2</v>
      </c>
      <c r="K38" s="68"/>
      <c r="M38"/>
    </row>
    <row r="39" spans="2:13" x14ac:dyDescent="0.25">
      <c r="B39" s="68">
        <v>2019</v>
      </c>
      <c r="C39" t="s">
        <v>557</v>
      </c>
      <c r="D39">
        <v>0.61399999999999999</v>
      </c>
      <c r="K39" s="68"/>
      <c r="M39"/>
    </row>
    <row r="40" spans="2:13" x14ac:dyDescent="0.25">
      <c r="B40" s="68">
        <v>2020</v>
      </c>
      <c r="C40" t="s">
        <v>557</v>
      </c>
      <c r="D40">
        <v>0.29499999999999998</v>
      </c>
      <c r="K40" s="68"/>
      <c r="M40"/>
    </row>
    <row r="41" spans="2:13" x14ac:dyDescent="0.25">
      <c r="B41" s="68">
        <v>2019</v>
      </c>
      <c r="C41" t="s">
        <v>660</v>
      </c>
      <c r="D41">
        <v>0.5</v>
      </c>
      <c r="K41" s="68"/>
      <c r="M41"/>
    </row>
    <row r="42" spans="2:13" x14ac:dyDescent="0.25">
      <c r="B42" s="68">
        <v>2020</v>
      </c>
      <c r="C42" t="s">
        <v>557</v>
      </c>
      <c r="D42">
        <v>9.6349999999999998</v>
      </c>
      <c r="K42" s="68"/>
      <c r="M42"/>
    </row>
    <row r="43" spans="2:13" x14ac:dyDescent="0.25">
      <c r="B43" s="68">
        <v>2020</v>
      </c>
      <c r="C43" t="s">
        <v>557</v>
      </c>
      <c r="D43">
        <v>0.49</v>
      </c>
      <c r="K43" s="68"/>
      <c r="M43"/>
    </row>
    <row r="44" spans="2:13" x14ac:dyDescent="0.25">
      <c r="B44" s="68">
        <v>2021</v>
      </c>
      <c r="C44" t="s">
        <v>617</v>
      </c>
      <c r="D44">
        <v>1</v>
      </c>
      <c r="K44" s="68"/>
      <c r="M44"/>
    </row>
    <row r="45" spans="2:13" x14ac:dyDescent="0.25">
      <c r="B45" s="68">
        <v>2020</v>
      </c>
      <c r="C45" t="s">
        <v>617</v>
      </c>
      <c r="D45">
        <v>4</v>
      </c>
      <c r="K45" s="68"/>
      <c r="M45"/>
    </row>
    <row r="46" spans="2:13" x14ac:dyDescent="0.25">
      <c r="B46" s="68">
        <v>2020</v>
      </c>
      <c r="C46" t="s">
        <v>557</v>
      </c>
      <c r="D46">
        <v>0.68799999999999994</v>
      </c>
      <c r="K46" s="68"/>
      <c r="M46"/>
    </row>
    <row r="47" spans="2:13" x14ac:dyDescent="0.25">
      <c r="B47" s="68">
        <v>2018</v>
      </c>
      <c r="C47" t="s">
        <v>557</v>
      </c>
      <c r="D47">
        <v>0.40400000000000003</v>
      </c>
      <c r="K47" s="68"/>
      <c r="M47"/>
    </row>
    <row r="48" spans="2:13" x14ac:dyDescent="0.25">
      <c r="B48" s="68">
        <v>2019</v>
      </c>
      <c r="C48" t="s">
        <v>557</v>
      </c>
      <c r="D48">
        <v>0.19650000000000001</v>
      </c>
      <c r="K48" s="68"/>
      <c r="M48"/>
    </row>
    <row r="49" spans="2:13" x14ac:dyDescent="0.25">
      <c r="B49" s="68">
        <v>2020</v>
      </c>
      <c r="C49" t="s">
        <v>557</v>
      </c>
      <c r="D49">
        <v>1.159</v>
      </c>
      <c r="K49" s="68"/>
      <c r="M49"/>
    </row>
    <row r="50" spans="2:13" x14ac:dyDescent="0.25">
      <c r="B50" s="68">
        <v>2020</v>
      </c>
      <c r="C50" t="s">
        <v>617</v>
      </c>
      <c r="D50">
        <v>1</v>
      </c>
      <c r="K50" s="68"/>
      <c r="M50"/>
    </row>
    <row r="51" spans="2:13" x14ac:dyDescent="0.25">
      <c r="B51" s="68">
        <v>2021</v>
      </c>
      <c r="C51" t="s">
        <v>557</v>
      </c>
      <c r="D51">
        <v>2.089</v>
      </c>
      <c r="K51" s="68"/>
      <c r="M51"/>
    </row>
    <row r="52" spans="2:13" x14ac:dyDescent="0.25">
      <c r="B52" s="68">
        <v>2019</v>
      </c>
      <c r="C52" t="s">
        <v>557</v>
      </c>
      <c r="D52">
        <v>0.3</v>
      </c>
      <c r="K52" s="68"/>
      <c r="M52"/>
    </row>
    <row r="53" spans="2:13" x14ac:dyDescent="0.25">
      <c r="B53" s="68">
        <v>2020</v>
      </c>
      <c r="C53" t="s">
        <v>557</v>
      </c>
      <c r="D53">
        <v>0.15</v>
      </c>
      <c r="K53" s="68"/>
      <c r="M53"/>
    </row>
    <row r="54" spans="2:13" x14ac:dyDescent="0.25">
      <c r="B54" s="68">
        <v>2020</v>
      </c>
      <c r="C54" t="s">
        <v>617</v>
      </c>
      <c r="D54">
        <v>1</v>
      </c>
      <c r="K54" s="68"/>
      <c r="M54"/>
    </row>
    <row r="55" spans="2:13" x14ac:dyDescent="0.25">
      <c r="B55" s="68">
        <v>2023</v>
      </c>
      <c r="C55" t="s">
        <v>617</v>
      </c>
      <c r="D55">
        <v>1</v>
      </c>
      <c r="K55" s="68"/>
      <c r="M55"/>
    </row>
    <row r="56" spans="2:13" x14ac:dyDescent="0.25">
      <c r="B56" s="68">
        <v>2022</v>
      </c>
      <c r="C56" t="s">
        <v>660</v>
      </c>
      <c r="D56">
        <v>0.33</v>
      </c>
      <c r="K56" s="68"/>
      <c r="M56"/>
    </row>
    <row r="57" spans="2:13" x14ac:dyDescent="0.25">
      <c r="B57" s="68">
        <v>2023</v>
      </c>
      <c r="C57" t="s">
        <v>660</v>
      </c>
      <c r="D57">
        <v>0.02</v>
      </c>
      <c r="K57" s="68"/>
      <c r="M57"/>
    </row>
    <row r="58" spans="2:13" x14ac:dyDescent="0.25">
      <c r="B58" s="68">
        <v>2020</v>
      </c>
      <c r="C58" t="s">
        <v>557</v>
      </c>
      <c r="D58">
        <v>0.1</v>
      </c>
      <c r="K58" s="68"/>
      <c r="M58"/>
    </row>
    <row r="59" spans="2:13" x14ac:dyDescent="0.25">
      <c r="B59" s="68">
        <v>2017</v>
      </c>
      <c r="C59" t="s">
        <v>871</v>
      </c>
      <c r="D59">
        <v>1</v>
      </c>
      <c r="K59" s="68"/>
      <c r="M59"/>
    </row>
    <row r="60" spans="2:13" x14ac:dyDescent="0.25">
      <c r="B60" s="68">
        <v>2022</v>
      </c>
      <c r="C60" t="s">
        <v>603</v>
      </c>
      <c r="D60">
        <v>10</v>
      </c>
      <c r="K60" s="68"/>
      <c r="M60"/>
    </row>
    <row r="61" spans="2:13" x14ac:dyDescent="0.25">
      <c r="B61" s="68">
        <v>2018</v>
      </c>
      <c r="C61" t="s">
        <v>617</v>
      </c>
      <c r="D61">
        <v>1</v>
      </c>
      <c r="K61" s="68"/>
      <c r="M61"/>
    </row>
    <row r="62" spans="2:13" x14ac:dyDescent="0.25">
      <c r="B62" s="68">
        <v>2018</v>
      </c>
      <c r="C62" t="s">
        <v>617</v>
      </c>
      <c r="D62">
        <v>1</v>
      </c>
      <c r="K62" s="68"/>
      <c r="M62"/>
    </row>
    <row r="63" spans="2:13" x14ac:dyDescent="0.25">
      <c r="B63" s="68">
        <v>2018</v>
      </c>
      <c r="C63" t="s">
        <v>617</v>
      </c>
      <c r="D63">
        <v>1</v>
      </c>
      <c r="K63" s="68"/>
      <c r="M63"/>
    </row>
    <row r="64" spans="2:13" x14ac:dyDescent="0.25">
      <c r="B64" s="68">
        <v>2021</v>
      </c>
      <c r="C64" t="s">
        <v>603</v>
      </c>
      <c r="D64">
        <v>1</v>
      </c>
      <c r="K64" s="68"/>
      <c r="M64"/>
    </row>
    <row r="65" spans="2:13" x14ac:dyDescent="0.25">
      <c r="B65" s="68">
        <v>2017</v>
      </c>
      <c r="C65" t="s">
        <v>871</v>
      </c>
      <c r="D65">
        <v>1</v>
      </c>
      <c r="K65" s="68"/>
      <c r="M65"/>
    </row>
    <row r="66" spans="2:13" x14ac:dyDescent="0.25">
      <c r="B66" s="68">
        <v>2018</v>
      </c>
      <c r="C66" t="s">
        <v>871</v>
      </c>
      <c r="D66">
        <v>1</v>
      </c>
      <c r="K66" s="68"/>
      <c r="M66"/>
    </row>
    <row r="67" spans="2:13" x14ac:dyDescent="0.25">
      <c r="B67" s="68">
        <v>2022</v>
      </c>
      <c r="C67" t="s">
        <v>603</v>
      </c>
      <c r="D67">
        <v>1</v>
      </c>
      <c r="K67" s="68"/>
      <c r="M67"/>
    </row>
    <row r="68" spans="2:13" x14ac:dyDescent="0.25">
      <c r="B68" s="68">
        <v>2020</v>
      </c>
      <c r="C68" t="s">
        <v>599</v>
      </c>
      <c r="D68">
        <v>0.23</v>
      </c>
      <c r="K68" s="68"/>
      <c r="M68"/>
    </row>
    <row r="69" spans="2:13" x14ac:dyDescent="0.25">
      <c r="B69" s="68">
        <v>2020</v>
      </c>
      <c r="C69" t="s">
        <v>601</v>
      </c>
      <c r="D69">
        <v>1.1100000000000001</v>
      </c>
      <c r="K69" s="68"/>
      <c r="M69"/>
    </row>
    <row r="70" spans="2:13" x14ac:dyDescent="0.25">
      <c r="B70" s="68">
        <v>2019</v>
      </c>
      <c r="C70" t="s">
        <v>603</v>
      </c>
      <c r="D70">
        <v>3</v>
      </c>
      <c r="K70" s="68"/>
      <c r="M70"/>
    </row>
    <row r="71" spans="2:13" x14ac:dyDescent="0.25">
      <c r="B71" s="68">
        <v>2018</v>
      </c>
      <c r="C71" t="s">
        <v>599</v>
      </c>
      <c r="D71">
        <v>1</v>
      </c>
      <c r="K71" s="68"/>
      <c r="M71"/>
    </row>
    <row r="72" spans="2:13" x14ac:dyDescent="0.25">
      <c r="B72" s="68">
        <v>2020</v>
      </c>
      <c r="C72" t="s">
        <v>601</v>
      </c>
      <c r="D72">
        <v>0.7</v>
      </c>
      <c r="K72" s="68"/>
      <c r="M72"/>
    </row>
    <row r="73" spans="2:13" x14ac:dyDescent="0.25">
      <c r="B73" s="68">
        <v>2020</v>
      </c>
      <c r="C73" t="s">
        <v>599</v>
      </c>
      <c r="D73">
        <v>2.87</v>
      </c>
      <c r="K73" s="68"/>
      <c r="M73"/>
    </row>
    <row r="74" spans="2:13" x14ac:dyDescent="0.25">
      <c r="B74" s="68">
        <v>2018</v>
      </c>
      <c r="C74" t="s">
        <v>599</v>
      </c>
      <c r="D74">
        <v>4.26</v>
      </c>
      <c r="K74" s="68"/>
      <c r="M74"/>
    </row>
    <row r="75" spans="2:13" x14ac:dyDescent="0.25">
      <c r="B75" s="68">
        <v>2018</v>
      </c>
      <c r="C75" t="s">
        <v>599</v>
      </c>
      <c r="D75">
        <v>6.14</v>
      </c>
      <c r="K75" s="68"/>
      <c r="M75"/>
    </row>
    <row r="76" spans="2:13" x14ac:dyDescent="0.25">
      <c r="B76" s="68">
        <v>2020</v>
      </c>
      <c r="C76" t="s">
        <v>599</v>
      </c>
      <c r="D76">
        <v>0.4</v>
      </c>
      <c r="K76" s="68"/>
      <c r="M76"/>
    </row>
    <row r="77" spans="2:13" x14ac:dyDescent="0.25">
      <c r="B77" s="68">
        <v>2020</v>
      </c>
      <c r="C77" t="s">
        <v>599</v>
      </c>
      <c r="D77">
        <v>1.67</v>
      </c>
      <c r="K77" s="68"/>
      <c r="M77"/>
    </row>
    <row r="78" spans="2:13" x14ac:dyDescent="0.25">
      <c r="B78" s="68">
        <v>2020</v>
      </c>
      <c r="C78" t="s">
        <v>599</v>
      </c>
      <c r="D78">
        <v>1.9259999999999999</v>
      </c>
      <c r="K78" s="68"/>
      <c r="M78"/>
    </row>
    <row r="79" spans="2:13" x14ac:dyDescent="0.25">
      <c r="B79" s="68">
        <v>2021</v>
      </c>
      <c r="C79" t="s">
        <v>605</v>
      </c>
      <c r="D79">
        <v>4</v>
      </c>
      <c r="K79" s="68"/>
      <c r="M79"/>
    </row>
    <row r="80" spans="2:13" x14ac:dyDescent="0.25">
      <c r="B80" s="68">
        <v>2020</v>
      </c>
      <c r="C80" t="s">
        <v>605</v>
      </c>
      <c r="D80">
        <v>2</v>
      </c>
      <c r="K80" s="68"/>
      <c r="M80"/>
    </row>
    <row r="81" spans="2:13" x14ac:dyDescent="0.25">
      <c r="B81" s="68">
        <v>2019</v>
      </c>
      <c r="C81" t="s">
        <v>613</v>
      </c>
      <c r="D81">
        <v>1</v>
      </c>
      <c r="K81" s="68"/>
      <c r="M81"/>
    </row>
    <row r="82" spans="2:13" x14ac:dyDescent="0.25">
      <c r="B82" s="68">
        <v>2019</v>
      </c>
      <c r="C82" t="s">
        <v>874</v>
      </c>
      <c r="D82">
        <v>1</v>
      </c>
      <c r="K82" s="68"/>
      <c r="M82"/>
    </row>
    <row r="83" spans="2:13" x14ac:dyDescent="0.25">
      <c r="B83" s="68">
        <v>2019</v>
      </c>
      <c r="C83" t="s">
        <v>613</v>
      </c>
      <c r="D83">
        <v>1</v>
      </c>
      <c r="K83" s="68"/>
      <c r="M83"/>
    </row>
    <row r="84" spans="2:13" x14ac:dyDescent="0.25">
      <c r="B84" s="68">
        <v>2019</v>
      </c>
      <c r="C84" t="s">
        <v>613</v>
      </c>
      <c r="D84">
        <v>1</v>
      </c>
      <c r="K84" s="68"/>
      <c r="M84"/>
    </row>
    <row r="85" spans="2:13" x14ac:dyDescent="0.25">
      <c r="B85" s="68">
        <v>2019</v>
      </c>
      <c r="C85" t="s">
        <v>581</v>
      </c>
      <c r="D85">
        <v>1</v>
      </c>
      <c r="K85" s="68"/>
      <c r="M85"/>
    </row>
    <row r="86" spans="2:13" x14ac:dyDescent="0.25">
      <c r="B86" s="68">
        <v>2018</v>
      </c>
      <c r="C86" t="s">
        <v>581</v>
      </c>
      <c r="D86">
        <v>1</v>
      </c>
      <c r="K86" s="68"/>
      <c r="M86"/>
    </row>
    <row r="87" spans="2:13" x14ac:dyDescent="0.25">
      <c r="B87" s="68">
        <v>2019</v>
      </c>
      <c r="C87" t="s">
        <v>561</v>
      </c>
      <c r="D87">
        <v>10000</v>
      </c>
      <c r="K87" s="68"/>
      <c r="M87"/>
    </row>
    <row r="88" spans="2:13" x14ac:dyDescent="0.25">
      <c r="B88" s="68">
        <v>2019</v>
      </c>
      <c r="C88" t="s">
        <v>561</v>
      </c>
      <c r="D88">
        <v>10000</v>
      </c>
      <c r="K88" s="68"/>
      <c r="M88"/>
    </row>
    <row r="89" spans="2:13" x14ac:dyDescent="0.25">
      <c r="B89" s="68">
        <v>2018</v>
      </c>
      <c r="C89" t="s">
        <v>561</v>
      </c>
      <c r="D89">
        <v>12000</v>
      </c>
      <c r="K89" s="68"/>
      <c r="M89"/>
    </row>
    <row r="90" spans="2:13" x14ac:dyDescent="0.25">
      <c r="B90" s="68">
        <v>2020</v>
      </c>
      <c r="C90" t="s">
        <v>555</v>
      </c>
      <c r="D90">
        <v>350</v>
      </c>
      <c r="K90" s="68"/>
      <c r="M90"/>
    </row>
    <row r="91" spans="2:13" x14ac:dyDescent="0.25">
      <c r="B91" s="68">
        <v>2019</v>
      </c>
      <c r="C91" t="s">
        <v>555</v>
      </c>
      <c r="D91">
        <v>200</v>
      </c>
      <c r="K91" s="68"/>
      <c r="M91"/>
    </row>
    <row r="92" spans="2:13" x14ac:dyDescent="0.25">
      <c r="B92" s="68">
        <v>2019</v>
      </c>
      <c r="C92" t="s">
        <v>701</v>
      </c>
      <c r="D92">
        <v>2000</v>
      </c>
      <c r="K92" s="68"/>
      <c r="M92"/>
    </row>
    <row r="93" spans="2:13" x14ac:dyDescent="0.25">
      <c r="B93" s="68">
        <v>2019</v>
      </c>
      <c r="C93" t="s">
        <v>702</v>
      </c>
      <c r="D93">
        <v>1</v>
      </c>
      <c r="K93" s="68"/>
      <c r="M93"/>
    </row>
    <row r="94" spans="2:13" x14ac:dyDescent="0.25">
      <c r="B94" s="68">
        <v>2019</v>
      </c>
      <c r="C94" t="s">
        <v>563</v>
      </c>
      <c r="D94">
        <v>5100</v>
      </c>
      <c r="K94" s="68"/>
      <c r="M94"/>
    </row>
    <row r="95" spans="2:13" x14ac:dyDescent="0.25">
      <c r="B95" s="68">
        <v>2019</v>
      </c>
      <c r="C95" t="s">
        <v>561</v>
      </c>
      <c r="D95">
        <v>117000</v>
      </c>
      <c r="K95" s="68"/>
      <c r="M95"/>
    </row>
    <row r="96" spans="2:13" x14ac:dyDescent="0.25">
      <c r="B96" s="68">
        <v>2021</v>
      </c>
      <c r="C96" t="s">
        <v>561</v>
      </c>
      <c r="D96">
        <v>264275</v>
      </c>
      <c r="K96" s="68"/>
      <c r="M96"/>
    </row>
    <row r="97" spans="2:13" x14ac:dyDescent="0.25">
      <c r="B97" s="68">
        <v>2020</v>
      </c>
      <c r="C97" t="s">
        <v>561</v>
      </c>
      <c r="D97">
        <v>34500</v>
      </c>
      <c r="K97" s="68"/>
      <c r="M97"/>
    </row>
    <row r="98" spans="2:13" x14ac:dyDescent="0.25">
      <c r="B98" s="68">
        <v>2020</v>
      </c>
      <c r="C98" t="s">
        <v>662</v>
      </c>
      <c r="D98">
        <v>369</v>
      </c>
      <c r="K98" s="68"/>
      <c r="M98"/>
    </row>
    <row r="99" spans="2:13" x14ac:dyDescent="0.25">
      <c r="B99" s="68">
        <v>2019</v>
      </c>
      <c r="C99" t="s">
        <v>662</v>
      </c>
      <c r="D99">
        <v>274</v>
      </c>
      <c r="K99" s="68"/>
      <c r="M99"/>
    </row>
    <row r="100" spans="2:13" x14ac:dyDescent="0.25">
      <c r="B100" s="68">
        <v>2021</v>
      </c>
      <c r="C100" t="s">
        <v>662</v>
      </c>
      <c r="D100">
        <v>614</v>
      </c>
      <c r="K100" s="68"/>
      <c r="M100"/>
    </row>
    <row r="101" spans="2:13" x14ac:dyDescent="0.25">
      <c r="B101" s="68">
        <v>2019</v>
      </c>
      <c r="C101" t="s">
        <v>593</v>
      </c>
      <c r="D101">
        <v>1</v>
      </c>
      <c r="K101" s="68"/>
      <c r="M101"/>
    </row>
    <row r="102" spans="2:13" x14ac:dyDescent="0.25">
      <c r="B102" s="68">
        <v>2020</v>
      </c>
      <c r="C102" t="s">
        <v>629</v>
      </c>
      <c r="D102">
        <v>1</v>
      </c>
      <c r="K102" s="68"/>
      <c r="M102"/>
    </row>
    <row r="103" spans="2:13" x14ac:dyDescent="0.25">
      <c r="B103" s="68">
        <v>2020</v>
      </c>
      <c r="C103" t="s">
        <v>629</v>
      </c>
      <c r="D103">
        <v>2</v>
      </c>
      <c r="K103" s="68"/>
      <c r="M103"/>
    </row>
    <row r="104" spans="2:13" x14ac:dyDescent="0.25">
      <c r="B104" s="68">
        <v>2020</v>
      </c>
      <c r="C104" t="s">
        <v>593</v>
      </c>
      <c r="D104">
        <v>1</v>
      </c>
      <c r="K104" s="68"/>
      <c r="M104"/>
    </row>
    <row r="105" spans="2:13" x14ac:dyDescent="0.25">
      <c r="B105" s="68">
        <v>2019</v>
      </c>
      <c r="C105" t="s">
        <v>654</v>
      </c>
      <c r="D105">
        <v>762</v>
      </c>
      <c r="K105" s="68"/>
      <c r="M105"/>
    </row>
    <row r="106" spans="2:13" x14ac:dyDescent="0.25">
      <c r="B106" s="68">
        <v>2020</v>
      </c>
      <c r="C106" t="s">
        <v>654</v>
      </c>
      <c r="D106">
        <v>473</v>
      </c>
      <c r="K106" s="68"/>
      <c r="M106"/>
    </row>
    <row r="107" spans="2:13" x14ac:dyDescent="0.25">
      <c r="B107" s="68">
        <v>2019</v>
      </c>
      <c r="C107" t="s">
        <v>682</v>
      </c>
      <c r="D107">
        <v>16</v>
      </c>
    </row>
    <row r="108" spans="2:13" x14ac:dyDescent="0.25">
      <c r="B108" s="68">
        <v>2019</v>
      </c>
      <c r="C108" t="s">
        <v>682</v>
      </c>
      <c r="D108">
        <v>35</v>
      </c>
    </row>
    <row r="109" spans="2:13" x14ac:dyDescent="0.25">
      <c r="B109" s="68">
        <v>2019</v>
      </c>
      <c r="C109" t="s">
        <v>591</v>
      </c>
      <c r="D109">
        <v>1</v>
      </c>
    </row>
    <row r="110" spans="2:13" x14ac:dyDescent="0.25">
      <c r="B110" s="68">
        <v>2019</v>
      </c>
      <c r="C110" t="s">
        <v>591</v>
      </c>
      <c r="D110">
        <v>1</v>
      </c>
    </row>
    <row r="111" spans="2:13" x14ac:dyDescent="0.25">
      <c r="B111" s="68">
        <v>2019</v>
      </c>
      <c r="C111" t="s">
        <v>591</v>
      </c>
      <c r="D111">
        <v>1</v>
      </c>
    </row>
    <row r="112" spans="2:13" x14ac:dyDescent="0.25">
      <c r="B112" s="68">
        <v>2020</v>
      </c>
      <c r="C112" t="s">
        <v>591</v>
      </c>
      <c r="D112">
        <v>1</v>
      </c>
    </row>
    <row r="113" spans="2:4" x14ac:dyDescent="0.25">
      <c r="B113" s="68">
        <v>2020</v>
      </c>
      <c r="C113" t="s">
        <v>581</v>
      </c>
      <c r="D113">
        <v>1</v>
      </c>
    </row>
    <row r="114" spans="2:4" x14ac:dyDescent="0.25">
      <c r="B114" s="68">
        <v>2020</v>
      </c>
      <c r="C114" t="s">
        <v>591</v>
      </c>
      <c r="D114">
        <v>1</v>
      </c>
    </row>
    <row r="115" spans="2:4" x14ac:dyDescent="0.25">
      <c r="B115" s="68">
        <v>2019</v>
      </c>
      <c r="C115" t="s">
        <v>883</v>
      </c>
      <c r="D115">
        <v>1</v>
      </c>
    </row>
    <row r="116" spans="2:4" x14ac:dyDescent="0.25">
      <c r="B116" s="68">
        <v>2020</v>
      </c>
      <c r="C116" t="s">
        <v>591</v>
      </c>
      <c r="D116">
        <v>1</v>
      </c>
    </row>
    <row r="117" spans="2:4" x14ac:dyDescent="0.25">
      <c r="B117" s="68">
        <v>2020</v>
      </c>
      <c r="C117" t="s">
        <v>593</v>
      </c>
      <c r="D117">
        <v>2</v>
      </c>
    </row>
    <row r="118" spans="2:4" x14ac:dyDescent="0.25">
      <c r="B118" s="68">
        <v>2020</v>
      </c>
      <c r="C118" t="s">
        <v>591</v>
      </c>
      <c r="D118">
        <v>1</v>
      </c>
    </row>
    <row r="119" spans="2:4" x14ac:dyDescent="0.25">
      <c r="B119" s="68">
        <v>2017</v>
      </c>
      <c r="C119" t="s">
        <v>877</v>
      </c>
      <c r="D119">
        <v>1</v>
      </c>
    </row>
    <row r="120" spans="2:4" x14ac:dyDescent="0.25">
      <c r="B120" s="68">
        <v>2020</v>
      </c>
      <c r="C120" t="s">
        <v>877</v>
      </c>
      <c r="D120">
        <v>1</v>
      </c>
    </row>
    <row r="121" spans="2:4" x14ac:dyDescent="0.25">
      <c r="B121" s="68">
        <v>2020</v>
      </c>
      <c r="C121" t="s">
        <v>878</v>
      </c>
      <c r="D121">
        <v>1</v>
      </c>
    </row>
    <row r="122" spans="2:4" x14ac:dyDescent="0.25">
      <c r="B122" s="68">
        <v>2020</v>
      </c>
      <c r="C122" t="s">
        <v>879</v>
      </c>
      <c r="D122">
        <v>1</v>
      </c>
    </row>
    <row r="123" spans="2:4" x14ac:dyDescent="0.25">
      <c r="B123" s="68">
        <v>2018</v>
      </c>
      <c r="C123" t="s">
        <v>880</v>
      </c>
      <c r="D123">
        <v>1</v>
      </c>
    </row>
    <row r="124" spans="2:4" x14ac:dyDescent="0.25">
      <c r="B124" s="68">
        <v>2018</v>
      </c>
      <c r="C124" t="s">
        <v>881</v>
      </c>
      <c r="D124">
        <v>1</v>
      </c>
    </row>
    <row r="125" spans="2:4" x14ac:dyDescent="0.25">
      <c r="B125" s="68">
        <v>2017</v>
      </c>
      <c r="C125" t="s">
        <v>882</v>
      </c>
      <c r="D125">
        <v>1</v>
      </c>
    </row>
    <row r="126" spans="2:4" x14ac:dyDescent="0.25">
      <c r="B126" s="68">
        <v>2020</v>
      </c>
      <c r="C126" t="s">
        <v>654</v>
      </c>
      <c r="D126">
        <v>290</v>
      </c>
    </row>
    <row r="127" spans="2:4" x14ac:dyDescent="0.25">
      <c r="B127" s="68">
        <v>2021</v>
      </c>
      <c r="C127" t="s">
        <v>654</v>
      </c>
      <c r="D127">
        <v>250</v>
      </c>
    </row>
    <row r="128" spans="2:4" x14ac:dyDescent="0.25">
      <c r="B128" s="68">
        <v>2019</v>
      </c>
      <c r="C128" t="s">
        <v>654</v>
      </c>
      <c r="D128">
        <v>500</v>
      </c>
    </row>
    <row r="129" spans="2:4" x14ac:dyDescent="0.25">
      <c r="B129" s="68">
        <v>2020</v>
      </c>
      <c r="C129" t="s">
        <v>591</v>
      </c>
      <c r="D129">
        <v>1</v>
      </c>
    </row>
    <row r="130" spans="2:4" x14ac:dyDescent="0.25">
      <c r="B130" s="68">
        <v>2020</v>
      </c>
      <c r="C130" t="s">
        <v>591</v>
      </c>
      <c r="D130">
        <v>1</v>
      </c>
    </row>
    <row r="131" spans="2:4" x14ac:dyDescent="0.25">
      <c r="B131" s="68">
        <v>2018</v>
      </c>
      <c r="C131" t="s">
        <v>631</v>
      </c>
      <c r="D131">
        <v>2</v>
      </c>
    </row>
    <row r="132" spans="2:4" x14ac:dyDescent="0.25">
      <c r="B132" s="68">
        <v>2020</v>
      </c>
      <c r="C132" t="s">
        <v>631</v>
      </c>
      <c r="D132">
        <v>2</v>
      </c>
    </row>
    <row r="133" spans="2:4" x14ac:dyDescent="0.25">
      <c r="B133" s="68">
        <v>2020</v>
      </c>
      <c r="C133" t="s">
        <v>631</v>
      </c>
      <c r="D133">
        <v>1</v>
      </c>
    </row>
    <row r="134" spans="2:4" x14ac:dyDescent="0.25">
      <c r="B134" s="68">
        <v>2020</v>
      </c>
      <c r="C134" t="s">
        <v>631</v>
      </c>
      <c r="D134">
        <v>2</v>
      </c>
    </row>
    <row r="135" spans="2:4" x14ac:dyDescent="0.25">
      <c r="B135" s="68">
        <v>2021</v>
      </c>
      <c r="C135" t="s">
        <v>631</v>
      </c>
      <c r="D135">
        <v>19</v>
      </c>
    </row>
    <row r="136" spans="2:4" x14ac:dyDescent="0.25">
      <c r="B136" s="68">
        <v>2020</v>
      </c>
      <c r="C136" t="s">
        <v>595</v>
      </c>
      <c r="D136">
        <v>1</v>
      </c>
    </row>
    <row r="137" spans="2:4" x14ac:dyDescent="0.25">
      <c r="B137" s="68">
        <v>2020</v>
      </c>
      <c r="C137" t="s">
        <v>595</v>
      </c>
      <c r="D137">
        <v>1</v>
      </c>
    </row>
    <row r="138" spans="2:4" x14ac:dyDescent="0.25">
      <c r="B138" s="68">
        <v>2018</v>
      </c>
      <c r="C138" t="s">
        <v>629</v>
      </c>
      <c r="D138">
        <v>1</v>
      </c>
    </row>
    <row r="139" spans="2:4" x14ac:dyDescent="0.25">
      <c r="B139" s="68">
        <v>2018</v>
      </c>
      <c r="C139" t="s">
        <v>629</v>
      </c>
      <c r="D139">
        <v>1</v>
      </c>
    </row>
    <row r="140" spans="2:4" x14ac:dyDescent="0.25">
      <c r="B140" s="68">
        <v>2020</v>
      </c>
      <c r="C140" t="s">
        <v>595</v>
      </c>
      <c r="D140">
        <v>2</v>
      </c>
    </row>
    <row r="141" spans="2:4" x14ac:dyDescent="0.25">
      <c r="B141" s="68">
        <v>2020</v>
      </c>
      <c r="C141" t="s">
        <v>654</v>
      </c>
      <c r="D141">
        <v>180</v>
      </c>
    </row>
    <row r="142" spans="2:4" x14ac:dyDescent="0.25">
      <c r="B142" s="68">
        <v>2020</v>
      </c>
      <c r="C142" t="s">
        <v>654</v>
      </c>
      <c r="D142">
        <v>300</v>
      </c>
    </row>
    <row r="143" spans="2:4" x14ac:dyDescent="0.25">
      <c r="B143" s="68">
        <v>2019</v>
      </c>
      <c r="C143" t="s">
        <v>654</v>
      </c>
      <c r="D143">
        <v>1</v>
      </c>
    </row>
    <row r="144" spans="2:4" x14ac:dyDescent="0.25">
      <c r="B144" s="68">
        <v>2020</v>
      </c>
      <c r="C144" t="s">
        <v>654</v>
      </c>
      <c r="D144">
        <v>531</v>
      </c>
    </row>
    <row r="145" spans="2:4" x14ac:dyDescent="0.25">
      <c r="B145" s="68">
        <v>2021</v>
      </c>
      <c r="C145" t="s">
        <v>619</v>
      </c>
      <c r="D145">
        <v>1</v>
      </c>
    </row>
    <row r="146" spans="2:4" x14ac:dyDescent="0.25">
      <c r="B146" s="68">
        <v>2020</v>
      </c>
      <c r="C146" t="s">
        <v>619</v>
      </c>
      <c r="D146">
        <v>1</v>
      </c>
    </row>
    <row r="147" spans="2:4" x14ac:dyDescent="0.25">
      <c r="B147" s="68">
        <v>2019</v>
      </c>
      <c r="C147" t="s">
        <v>619</v>
      </c>
      <c r="D147">
        <v>1</v>
      </c>
    </row>
    <row r="148" spans="2:4" x14ac:dyDescent="0.25">
      <c r="B148" s="68">
        <v>2019</v>
      </c>
      <c r="C148" t="s">
        <v>619</v>
      </c>
      <c r="D148">
        <v>1</v>
      </c>
    </row>
    <row r="149" spans="2:4" x14ac:dyDescent="0.25">
      <c r="B149" s="68">
        <v>2019</v>
      </c>
      <c r="C149" t="s">
        <v>619</v>
      </c>
      <c r="D149">
        <v>1</v>
      </c>
    </row>
    <row r="150" spans="2:4" x14ac:dyDescent="0.25">
      <c r="B150" s="68">
        <v>2019</v>
      </c>
      <c r="C150" t="s">
        <v>619</v>
      </c>
      <c r="D150">
        <v>1</v>
      </c>
    </row>
    <row r="151" spans="2:4" x14ac:dyDescent="0.25">
      <c r="B151" s="68">
        <v>2019</v>
      </c>
      <c r="C151" t="s">
        <v>619</v>
      </c>
      <c r="D151">
        <v>1</v>
      </c>
    </row>
    <row r="152" spans="2:4" x14ac:dyDescent="0.25">
      <c r="B152" s="68">
        <v>2021</v>
      </c>
      <c r="C152" t="s">
        <v>619</v>
      </c>
      <c r="D152">
        <v>1</v>
      </c>
    </row>
    <row r="153" spans="2:4" x14ac:dyDescent="0.25">
      <c r="B153" s="68">
        <v>2021</v>
      </c>
      <c r="C153" t="s">
        <v>619</v>
      </c>
      <c r="D153">
        <v>1</v>
      </c>
    </row>
    <row r="154" spans="2:4" x14ac:dyDescent="0.25">
      <c r="B154" s="68">
        <v>2019</v>
      </c>
      <c r="C154" t="s">
        <v>621</v>
      </c>
      <c r="D154">
        <v>11</v>
      </c>
    </row>
    <row r="155" spans="2:4" x14ac:dyDescent="0.25">
      <c r="B155" s="68">
        <v>2018</v>
      </c>
      <c r="C155" t="s">
        <v>621</v>
      </c>
      <c r="D155">
        <v>19</v>
      </c>
    </row>
    <row r="156" spans="2:4" x14ac:dyDescent="0.25">
      <c r="B156" s="68">
        <v>2022</v>
      </c>
      <c r="C156" t="s">
        <v>621</v>
      </c>
      <c r="D156">
        <v>80</v>
      </c>
    </row>
    <row r="157" spans="2:4" x14ac:dyDescent="0.25">
      <c r="B157" s="68">
        <v>2017</v>
      </c>
      <c r="C157" t="s">
        <v>621</v>
      </c>
      <c r="D157">
        <v>3</v>
      </c>
    </row>
    <row r="158" spans="2:4" x14ac:dyDescent="0.25">
      <c r="B158" s="68">
        <v>2019</v>
      </c>
      <c r="C158" t="s">
        <v>621</v>
      </c>
      <c r="D158">
        <v>30</v>
      </c>
    </row>
    <row r="159" spans="2:4" x14ac:dyDescent="0.25">
      <c r="B159" s="68">
        <v>2018</v>
      </c>
      <c r="C159" t="s">
        <v>621</v>
      </c>
      <c r="D159">
        <v>18</v>
      </c>
    </row>
    <row r="160" spans="2:4" x14ac:dyDescent="0.25">
      <c r="B160" s="68">
        <v>2020</v>
      </c>
      <c r="C160" t="s">
        <v>621</v>
      </c>
      <c r="D160">
        <v>40</v>
      </c>
    </row>
    <row r="161" spans="2:4" x14ac:dyDescent="0.25">
      <c r="B161" s="68">
        <v>2018</v>
      </c>
      <c r="C161" t="s">
        <v>621</v>
      </c>
      <c r="D161">
        <v>173</v>
      </c>
    </row>
    <row r="162" spans="2:4" x14ac:dyDescent="0.25">
      <c r="B162" s="68">
        <v>2021</v>
      </c>
      <c r="C162" t="s">
        <v>642</v>
      </c>
      <c r="D162">
        <v>1000</v>
      </c>
    </row>
    <row r="163" spans="2:4" x14ac:dyDescent="0.25">
      <c r="B163" s="68">
        <v>2020</v>
      </c>
      <c r="C163" t="s">
        <v>642</v>
      </c>
      <c r="D163">
        <v>4533</v>
      </c>
    </row>
    <row r="164" spans="2:4" x14ac:dyDescent="0.25">
      <c r="B164" s="68">
        <v>2021</v>
      </c>
      <c r="C164" t="s">
        <v>642</v>
      </c>
      <c r="D164">
        <v>2500</v>
      </c>
    </row>
    <row r="165" spans="2:4" x14ac:dyDescent="0.25">
      <c r="B165" s="68">
        <v>2021</v>
      </c>
      <c r="C165" t="s">
        <v>642</v>
      </c>
      <c r="D165">
        <v>1275</v>
      </c>
    </row>
    <row r="166" spans="2:4" x14ac:dyDescent="0.25">
      <c r="B166" s="68">
        <v>2020</v>
      </c>
      <c r="C166" t="s">
        <v>642</v>
      </c>
      <c r="D166">
        <v>2500</v>
      </c>
    </row>
    <row r="167" spans="2:4" x14ac:dyDescent="0.25">
      <c r="B167" s="68">
        <v>2022</v>
      </c>
      <c r="C167" t="s">
        <v>642</v>
      </c>
      <c r="D167">
        <v>800</v>
      </c>
    </row>
    <row r="168" spans="2:4" x14ac:dyDescent="0.25">
      <c r="B168" s="68">
        <v>2020</v>
      </c>
      <c r="C168" t="s">
        <v>642</v>
      </c>
      <c r="D168">
        <v>350</v>
      </c>
    </row>
    <row r="169" spans="2:4" x14ac:dyDescent="0.25">
      <c r="B169" s="68">
        <v>2022</v>
      </c>
      <c r="C169" t="s">
        <v>642</v>
      </c>
      <c r="D169">
        <v>1588</v>
      </c>
    </row>
    <row r="170" spans="2:4" x14ac:dyDescent="0.25">
      <c r="B170" s="68">
        <v>2020</v>
      </c>
      <c r="C170" t="s">
        <v>644</v>
      </c>
      <c r="D170">
        <v>1</v>
      </c>
    </row>
    <row r="171" spans="2:4" x14ac:dyDescent="0.25">
      <c r="B171" s="68">
        <v>2020</v>
      </c>
      <c r="C171" t="s">
        <v>644</v>
      </c>
      <c r="D171">
        <v>6</v>
      </c>
    </row>
    <row r="172" spans="2:4" x14ac:dyDescent="0.25">
      <c r="B172" s="68">
        <v>2020</v>
      </c>
      <c r="C172" t="s">
        <v>644</v>
      </c>
      <c r="D172">
        <v>1</v>
      </c>
    </row>
    <row r="173" spans="2:4" x14ac:dyDescent="0.25">
      <c r="B173" s="68">
        <v>2020</v>
      </c>
      <c r="C173" t="s">
        <v>644</v>
      </c>
      <c r="D173">
        <v>1</v>
      </c>
    </row>
    <row r="174" spans="2:4" x14ac:dyDescent="0.25">
      <c r="B174" s="68">
        <v>2020</v>
      </c>
      <c r="C174" t="s">
        <v>644</v>
      </c>
      <c r="D174">
        <v>6</v>
      </c>
    </row>
    <row r="175" spans="2:4" x14ac:dyDescent="0.25">
      <c r="B175" s="68">
        <v>2020</v>
      </c>
      <c r="C175" t="s">
        <v>644</v>
      </c>
      <c r="D175">
        <v>1</v>
      </c>
    </row>
    <row r="176" spans="2:4" x14ac:dyDescent="0.25">
      <c r="B176" s="68">
        <v>2020</v>
      </c>
      <c r="C176" t="s">
        <v>644</v>
      </c>
      <c r="D176">
        <v>1</v>
      </c>
    </row>
    <row r="177" spans="2:4" x14ac:dyDescent="0.25">
      <c r="B177" s="68">
        <v>2019</v>
      </c>
      <c r="C177" t="s">
        <v>644</v>
      </c>
      <c r="D177">
        <v>1</v>
      </c>
    </row>
    <row r="178" spans="2:4" x14ac:dyDescent="0.25">
      <c r="B178" s="68">
        <v>2020</v>
      </c>
      <c r="C178" t="s">
        <v>644</v>
      </c>
      <c r="D178">
        <v>1</v>
      </c>
    </row>
    <row r="179" spans="2:4" x14ac:dyDescent="0.25">
      <c r="B179" s="68">
        <v>2020</v>
      </c>
      <c r="C179" t="s">
        <v>644</v>
      </c>
      <c r="D179">
        <v>1</v>
      </c>
    </row>
    <row r="180" spans="2:4" x14ac:dyDescent="0.25">
      <c r="B180" s="68">
        <v>2019</v>
      </c>
      <c r="C180" t="s">
        <v>644</v>
      </c>
      <c r="D180">
        <v>1</v>
      </c>
    </row>
    <row r="181" spans="2:4" x14ac:dyDescent="0.25">
      <c r="B181" s="68">
        <v>2020</v>
      </c>
      <c r="C181" t="s">
        <v>644</v>
      </c>
      <c r="D181">
        <v>1</v>
      </c>
    </row>
    <row r="182" spans="2:4" x14ac:dyDescent="0.25">
      <c r="B182" s="68">
        <v>2019</v>
      </c>
      <c r="C182" t="s">
        <v>644</v>
      </c>
      <c r="D182">
        <v>1</v>
      </c>
    </row>
    <row r="183" spans="2:4" x14ac:dyDescent="0.25">
      <c r="B183" s="68">
        <v>2020</v>
      </c>
      <c r="C183" t="s">
        <v>644</v>
      </c>
      <c r="D183">
        <v>1</v>
      </c>
    </row>
    <row r="184" spans="2:4" x14ac:dyDescent="0.25">
      <c r="B184" s="68">
        <v>2020</v>
      </c>
      <c r="C184" t="s">
        <v>644</v>
      </c>
      <c r="D184">
        <v>1</v>
      </c>
    </row>
    <row r="185" spans="2:4" x14ac:dyDescent="0.25">
      <c r="B185" s="68">
        <v>2019</v>
      </c>
      <c r="C185" t="s">
        <v>644</v>
      </c>
      <c r="D185">
        <v>1</v>
      </c>
    </row>
    <row r="186" spans="2:4" x14ac:dyDescent="0.25">
      <c r="B186" s="68">
        <v>2019</v>
      </c>
      <c r="C186" t="s">
        <v>644</v>
      </c>
      <c r="D186">
        <v>1</v>
      </c>
    </row>
    <row r="187" spans="2:4" x14ac:dyDescent="0.25">
      <c r="B187" s="68">
        <v>2019</v>
      </c>
      <c r="C187" t="s">
        <v>644</v>
      </c>
      <c r="D187">
        <v>1</v>
      </c>
    </row>
    <row r="188" spans="2:4" x14ac:dyDescent="0.25">
      <c r="B188" s="68">
        <v>2020</v>
      </c>
      <c r="C188" t="s">
        <v>644</v>
      </c>
      <c r="D188">
        <v>5</v>
      </c>
    </row>
    <row r="189" spans="2:4" x14ac:dyDescent="0.25">
      <c r="B189" s="68">
        <v>2020</v>
      </c>
      <c r="C189" t="s">
        <v>644</v>
      </c>
      <c r="D189">
        <v>1</v>
      </c>
    </row>
    <row r="190" spans="2:4" x14ac:dyDescent="0.25">
      <c r="B190" s="68">
        <v>2019</v>
      </c>
      <c r="C190" t="s">
        <v>644</v>
      </c>
      <c r="D190">
        <v>1</v>
      </c>
    </row>
    <row r="191" spans="2:4" x14ac:dyDescent="0.25">
      <c r="B191" s="68">
        <v>2020</v>
      </c>
      <c r="C191" t="s">
        <v>644</v>
      </c>
      <c r="D191">
        <v>1</v>
      </c>
    </row>
    <row r="192" spans="2:4" x14ac:dyDescent="0.25">
      <c r="B192" s="68">
        <v>2020</v>
      </c>
      <c r="C192" t="s">
        <v>644</v>
      </c>
      <c r="D192">
        <v>1</v>
      </c>
    </row>
    <row r="193" spans="2:4" x14ac:dyDescent="0.25">
      <c r="B193" s="68">
        <v>2020</v>
      </c>
      <c r="C193" t="s">
        <v>644</v>
      </c>
      <c r="D193">
        <v>1</v>
      </c>
    </row>
    <row r="194" spans="2:4" x14ac:dyDescent="0.25">
      <c r="B194" s="68">
        <v>2020</v>
      </c>
      <c r="C194" t="s">
        <v>644</v>
      </c>
      <c r="D194">
        <v>1</v>
      </c>
    </row>
    <row r="195" spans="2:4" x14ac:dyDescent="0.25">
      <c r="B195" s="68">
        <v>2020</v>
      </c>
      <c r="C195" t="s">
        <v>644</v>
      </c>
      <c r="D195">
        <v>1</v>
      </c>
    </row>
    <row r="196" spans="2:4" x14ac:dyDescent="0.25">
      <c r="B196" s="68">
        <v>2020</v>
      </c>
      <c r="C196" t="s">
        <v>644</v>
      </c>
      <c r="D196">
        <v>1</v>
      </c>
    </row>
    <row r="197" spans="2:4" x14ac:dyDescent="0.25">
      <c r="B197" s="68">
        <v>2020</v>
      </c>
      <c r="C197" t="s">
        <v>644</v>
      </c>
      <c r="D197">
        <v>1</v>
      </c>
    </row>
    <row r="198" spans="2:4" x14ac:dyDescent="0.25">
      <c r="B198" s="68">
        <v>2019</v>
      </c>
      <c r="C198" t="s">
        <v>644</v>
      </c>
      <c r="D198">
        <v>1</v>
      </c>
    </row>
    <row r="199" spans="2:4" x14ac:dyDescent="0.25">
      <c r="B199" s="68">
        <v>2019</v>
      </c>
      <c r="C199" t="s">
        <v>644</v>
      </c>
      <c r="D199">
        <v>1</v>
      </c>
    </row>
    <row r="200" spans="2:4" x14ac:dyDescent="0.25">
      <c r="B200" s="68">
        <v>2020</v>
      </c>
      <c r="C200" t="s">
        <v>644</v>
      </c>
      <c r="D200">
        <v>1</v>
      </c>
    </row>
    <row r="201" spans="2:4" x14ac:dyDescent="0.25">
      <c r="B201" s="68">
        <v>2019</v>
      </c>
      <c r="C201" t="s">
        <v>644</v>
      </c>
      <c r="D201">
        <v>1</v>
      </c>
    </row>
    <row r="202" spans="2:4" x14ac:dyDescent="0.25">
      <c r="B202" s="68">
        <v>2020</v>
      </c>
      <c r="C202" t="s">
        <v>644</v>
      </c>
      <c r="D202">
        <v>1</v>
      </c>
    </row>
    <row r="203" spans="2:4" x14ac:dyDescent="0.25">
      <c r="B203" s="68">
        <v>2020</v>
      </c>
      <c r="C203" t="s">
        <v>644</v>
      </c>
      <c r="D203">
        <v>1</v>
      </c>
    </row>
    <row r="204" spans="2:4" x14ac:dyDescent="0.25">
      <c r="B204" s="68">
        <v>2020</v>
      </c>
      <c r="C204" t="s">
        <v>644</v>
      </c>
      <c r="D204">
        <v>1</v>
      </c>
    </row>
    <row r="205" spans="2:4" x14ac:dyDescent="0.25">
      <c r="B205" s="68">
        <v>2020</v>
      </c>
      <c r="C205" t="s">
        <v>644</v>
      </c>
      <c r="D205">
        <v>1</v>
      </c>
    </row>
    <row r="206" spans="2:4" x14ac:dyDescent="0.25">
      <c r="B206" s="68">
        <v>2020</v>
      </c>
      <c r="C206" t="s">
        <v>644</v>
      </c>
      <c r="D206">
        <v>1</v>
      </c>
    </row>
    <row r="207" spans="2:4" x14ac:dyDescent="0.25">
      <c r="B207" s="68">
        <v>2020</v>
      </c>
      <c r="C207" t="s">
        <v>644</v>
      </c>
      <c r="D207">
        <v>1</v>
      </c>
    </row>
    <row r="208" spans="2:4" x14ac:dyDescent="0.25">
      <c r="B208" s="68">
        <v>2020</v>
      </c>
      <c r="C208" t="s">
        <v>644</v>
      </c>
      <c r="D208">
        <v>1</v>
      </c>
    </row>
    <row r="209" spans="2:4" x14ac:dyDescent="0.25">
      <c r="B209" s="68">
        <v>2019</v>
      </c>
      <c r="C209" t="s">
        <v>644</v>
      </c>
      <c r="D209">
        <v>1</v>
      </c>
    </row>
    <row r="210" spans="2:4" x14ac:dyDescent="0.25">
      <c r="B210" s="68">
        <v>2020</v>
      </c>
      <c r="C210" t="s">
        <v>644</v>
      </c>
      <c r="D210">
        <v>1</v>
      </c>
    </row>
    <row r="211" spans="2:4" x14ac:dyDescent="0.25">
      <c r="B211" s="68">
        <v>2019</v>
      </c>
      <c r="C211" t="s">
        <v>644</v>
      </c>
      <c r="D211">
        <v>1</v>
      </c>
    </row>
    <row r="212" spans="2:4" x14ac:dyDescent="0.25">
      <c r="B212" s="68">
        <v>2019</v>
      </c>
      <c r="C212" t="s">
        <v>644</v>
      </c>
      <c r="D212">
        <v>1</v>
      </c>
    </row>
    <row r="213" spans="2:4" x14ac:dyDescent="0.25">
      <c r="B213" s="68">
        <v>2020</v>
      </c>
      <c r="C213" t="s">
        <v>644</v>
      </c>
      <c r="D213">
        <v>1</v>
      </c>
    </row>
    <row r="214" spans="2:4" x14ac:dyDescent="0.25">
      <c r="B214" s="68">
        <v>2022</v>
      </c>
      <c r="C214" t="s">
        <v>589</v>
      </c>
      <c r="D214">
        <v>26</v>
      </c>
    </row>
    <row r="215" spans="2:4" x14ac:dyDescent="0.25">
      <c r="B215" s="68">
        <v>2022</v>
      </c>
      <c r="C215" t="s">
        <v>589</v>
      </c>
      <c r="D215">
        <v>26</v>
      </c>
    </row>
    <row r="216" spans="2:4" x14ac:dyDescent="0.25">
      <c r="B216" s="68">
        <v>2022</v>
      </c>
      <c r="C216" t="s">
        <v>589</v>
      </c>
      <c r="D216">
        <v>44</v>
      </c>
    </row>
    <row r="217" spans="2:4" x14ac:dyDescent="0.25">
      <c r="B217" s="68">
        <v>2022</v>
      </c>
      <c r="C217" t="s">
        <v>589</v>
      </c>
      <c r="D217">
        <v>61</v>
      </c>
    </row>
    <row r="218" spans="2:4" x14ac:dyDescent="0.25">
      <c r="B218" s="68">
        <v>2022</v>
      </c>
      <c r="C218" t="s">
        <v>589</v>
      </c>
      <c r="D218">
        <v>177</v>
      </c>
    </row>
    <row r="219" spans="2:4" x14ac:dyDescent="0.25">
      <c r="B219" s="68">
        <v>2021</v>
      </c>
      <c r="C219" t="s">
        <v>589</v>
      </c>
      <c r="D219">
        <v>66</v>
      </c>
    </row>
    <row r="220" spans="2:4" x14ac:dyDescent="0.25">
      <c r="B220" s="68">
        <v>2022</v>
      </c>
      <c r="C220" t="s">
        <v>589</v>
      </c>
      <c r="D220">
        <v>54</v>
      </c>
    </row>
    <row r="221" spans="2:4" x14ac:dyDescent="0.25">
      <c r="B221" s="68">
        <v>2017</v>
      </c>
      <c r="C221" t="s">
        <v>581</v>
      </c>
      <c r="D221">
        <v>1</v>
      </c>
    </row>
    <row r="222" spans="2:4" x14ac:dyDescent="0.25">
      <c r="B222" s="68">
        <v>2020</v>
      </c>
      <c r="C222" t="s">
        <v>581</v>
      </c>
      <c r="D222">
        <v>1</v>
      </c>
    </row>
    <row r="223" spans="2:4" x14ac:dyDescent="0.25">
      <c r="B223" s="68">
        <v>2019</v>
      </c>
      <c r="C223" t="s">
        <v>581</v>
      </c>
      <c r="D223">
        <v>1</v>
      </c>
    </row>
    <row r="224" spans="2:4" x14ac:dyDescent="0.25">
      <c r="B224" s="68">
        <v>2019</v>
      </c>
      <c r="C224" t="s">
        <v>581</v>
      </c>
      <c r="D224">
        <v>1</v>
      </c>
    </row>
    <row r="225" spans="2:4" x14ac:dyDescent="0.25">
      <c r="B225" s="68">
        <v>2018</v>
      </c>
      <c r="C225" t="s">
        <v>581</v>
      </c>
      <c r="D225">
        <v>1</v>
      </c>
    </row>
    <row r="226" spans="2:4" x14ac:dyDescent="0.25">
      <c r="B226" s="68">
        <v>2020</v>
      </c>
      <c r="C226" t="s">
        <v>581</v>
      </c>
      <c r="D226">
        <v>1</v>
      </c>
    </row>
    <row r="227" spans="2:4" x14ac:dyDescent="0.25">
      <c r="B227" s="68">
        <v>2019</v>
      </c>
      <c r="C227" t="s">
        <v>607</v>
      </c>
      <c r="D227">
        <v>316.10000000000002</v>
      </c>
    </row>
    <row r="228" spans="2:4" x14ac:dyDescent="0.25">
      <c r="B228" s="68">
        <v>2020</v>
      </c>
      <c r="C228" t="s">
        <v>607</v>
      </c>
      <c r="D228">
        <v>228.22</v>
      </c>
    </row>
    <row r="229" spans="2:4" x14ac:dyDescent="0.25">
      <c r="B229" s="68">
        <v>2019</v>
      </c>
      <c r="C229" t="s">
        <v>623</v>
      </c>
      <c r="D229">
        <v>37866</v>
      </c>
    </row>
    <row r="230" spans="2:4" x14ac:dyDescent="0.25">
      <c r="B230" s="68">
        <v>2020</v>
      </c>
      <c r="C230" t="s">
        <v>623</v>
      </c>
      <c r="D230">
        <v>10265</v>
      </c>
    </row>
    <row r="231" spans="2:4" x14ac:dyDescent="0.25">
      <c r="B231" s="68">
        <v>2019</v>
      </c>
      <c r="C231" t="s">
        <v>623</v>
      </c>
      <c r="D231">
        <v>91148</v>
      </c>
    </row>
    <row r="232" spans="2:4" x14ac:dyDescent="0.25">
      <c r="B232" s="68">
        <v>2019</v>
      </c>
      <c r="C232" t="s">
        <v>607</v>
      </c>
      <c r="D232">
        <v>612.75</v>
      </c>
    </row>
    <row r="233" spans="2:4" x14ac:dyDescent="0.25">
      <c r="B233" s="68">
        <v>2020</v>
      </c>
      <c r="C233" t="s">
        <v>623</v>
      </c>
      <c r="D233">
        <v>8440</v>
      </c>
    </row>
    <row r="234" spans="2:4" x14ac:dyDescent="0.25">
      <c r="B234" s="68">
        <v>2020</v>
      </c>
      <c r="C234" t="s">
        <v>623</v>
      </c>
      <c r="D234">
        <v>10206.5</v>
      </c>
    </row>
    <row r="235" spans="2:4" x14ac:dyDescent="0.25">
      <c r="B235" s="68">
        <v>2021</v>
      </c>
      <c r="C235" t="s">
        <v>623</v>
      </c>
      <c r="D235">
        <v>40000</v>
      </c>
    </row>
    <row r="236" spans="2:4" x14ac:dyDescent="0.25">
      <c r="B236" s="68">
        <v>2022</v>
      </c>
      <c r="C236" t="s">
        <v>623</v>
      </c>
      <c r="D236">
        <v>3938</v>
      </c>
    </row>
    <row r="237" spans="2:4" x14ac:dyDescent="0.25">
      <c r="B237" s="68">
        <v>2020</v>
      </c>
      <c r="C237" t="s">
        <v>623</v>
      </c>
      <c r="D237">
        <v>84826</v>
      </c>
    </row>
    <row r="238" spans="2:4" x14ac:dyDescent="0.25">
      <c r="B238" s="68">
        <v>2020</v>
      </c>
      <c r="C238" t="s">
        <v>563</v>
      </c>
      <c r="D238">
        <v>2000</v>
      </c>
    </row>
    <row r="239" spans="2:4" x14ac:dyDescent="0.25">
      <c r="B239" s="68">
        <v>2020</v>
      </c>
      <c r="C239" t="s">
        <v>883</v>
      </c>
      <c r="D239">
        <v>1</v>
      </c>
    </row>
    <row r="240" spans="2:4" x14ac:dyDescent="0.25">
      <c r="B240" s="68">
        <v>2020</v>
      </c>
      <c r="C240" t="s">
        <v>883</v>
      </c>
      <c r="D240">
        <v>1</v>
      </c>
    </row>
    <row r="241" spans="2:4" x14ac:dyDescent="0.25">
      <c r="B241" s="68">
        <v>2018</v>
      </c>
      <c r="C241" t="s">
        <v>883</v>
      </c>
      <c r="D241">
        <v>1</v>
      </c>
    </row>
    <row r="242" spans="2:4" x14ac:dyDescent="0.25">
      <c r="B242" s="68">
        <v>2018</v>
      </c>
      <c r="C242" t="s">
        <v>693</v>
      </c>
      <c r="D242">
        <v>1</v>
      </c>
    </row>
    <row r="243" spans="2:4" x14ac:dyDescent="0.25">
      <c r="B243" s="68">
        <v>2018</v>
      </c>
      <c r="C243" t="s">
        <v>867</v>
      </c>
      <c r="D243">
        <v>240</v>
      </c>
    </row>
    <row r="244" spans="2:4" x14ac:dyDescent="0.25">
      <c r="B244" s="68">
        <v>2020</v>
      </c>
      <c r="C244" t="s">
        <v>693</v>
      </c>
      <c r="D244">
        <v>1</v>
      </c>
    </row>
    <row r="245" spans="2:4" x14ac:dyDescent="0.25">
      <c r="B245" s="68">
        <v>2020</v>
      </c>
      <c r="C245" t="s">
        <v>693</v>
      </c>
      <c r="D245">
        <v>1</v>
      </c>
    </row>
    <row r="246" spans="2:4" x14ac:dyDescent="0.25">
      <c r="B246" s="68">
        <v>2020</v>
      </c>
      <c r="C246" t="s">
        <v>693</v>
      </c>
      <c r="D246">
        <v>1</v>
      </c>
    </row>
    <row r="247" spans="2:4" x14ac:dyDescent="0.25">
      <c r="B247" s="68">
        <v>2020</v>
      </c>
      <c r="C247" t="s">
        <v>693</v>
      </c>
      <c r="D247">
        <v>1</v>
      </c>
    </row>
    <row r="248" spans="2:4" x14ac:dyDescent="0.25">
      <c r="B248" s="68">
        <v>2020</v>
      </c>
      <c r="C248" t="s">
        <v>623</v>
      </c>
      <c r="D248">
        <v>13198</v>
      </c>
    </row>
    <row r="249" spans="2:4" x14ac:dyDescent="0.25">
      <c r="B249" s="68">
        <v>2018</v>
      </c>
      <c r="C249" t="s">
        <v>883</v>
      </c>
      <c r="D249">
        <v>2</v>
      </c>
    </row>
    <row r="250" spans="2:4" x14ac:dyDescent="0.25">
      <c r="B250" s="68">
        <v>2018</v>
      </c>
      <c r="C250" t="s">
        <v>867</v>
      </c>
      <c r="D250">
        <v>488</v>
      </c>
    </row>
    <row r="251" spans="2:4" x14ac:dyDescent="0.25">
      <c r="B251" s="68">
        <v>2019</v>
      </c>
      <c r="C251" t="s">
        <v>883</v>
      </c>
      <c r="D251">
        <v>1</v>
      </c>
    </row>
    <row r="252" spans="2:4" x14ac:dyDescent="0.25">
      <c r="B252" s="68">
        <v>2019</v>
      </c>
      <c r="C252" t="s">
        <v>883</v>
      </c>
      <c r="D252">
        <v>1</v>
      </c>
    </row>
    <row r="253" spans="2:4" x14ac:dyDescent="0.25">
      <c r="B253" s="68">
        <v>2018</v>
      </c>
      <c r="C253" t="s">
        <v>883</v>
      </c>
      <c r="D253">
        <v>1</v>
      </c>
    </row>
    <row r="254" spans="2:4" x14ac:dyDescent="0.25">
      <c r="B254" s="68">
        <v>2018</v>
      </c>
      <c r="C254" t="s">
        <v>883</v>
      </c>
      <c r="D254">
        <v>1</v>
      </c>
    </row>
    <row r="255" spans="2:4" x14ac:dyDescent="0.25">
      <c r="B255" s="68">
        <v>2018</v>
      </c>
      <c r="C255" t="s">
        <v>867</v>
      </c>
      <c r="D255">
        <v>653</v>
      </c>
    </row>
    <row r="256" spans="2:4" x14ac:dyDescent="0.25">
      <c r="B256" s="68">
        <v>2018</v>
      </c>
      <c r="C256" t="s">
        <v>883</v>
      </c>
      <c r="D256">
        <v>1</v>
      </c>
    </row>
    <row r="257" spans="2:4" x14ac:dyDescent="0.25">
      <c r="B257" s="68">
        <v>2018</v>
      </c>
      <c r="C257" t="s">
        <v>883</v>
      </c>
      <c r="D257">
        <v>1</v>
      </c>
    </row>
    <row r="258" spans="2:4" x14ac:dyDescent="0.25">
      <c r="B258" s="68">
        <v>2018</v>
      </c>
      <c r="C258" t="s">
        <v>883</v>
      </c>
      <c r="D258">
        <v>1</v>
      </c>
    </row>
    <row r="259" spans="2:4" x14ac:dyDescent="0.25">
      <c r="B259" s="68">
        <v>2019</v>
      </c>
      <c r="C259" t="s">
        <v>883</v>
      </c>
      <c r="D259">
        <v>1</v>
      </c>
    </row>
    <row r="260" spans="2:4" x14ac:dyDescent="0.25">
      <c r="B260" s="68">
        <v>2018</v>
      </c>
      <c r="C260" t="s">
        <v>883</v>
      </c>
      <c r="D260">
        <v>1</v>
      </c>
    </row>
    <row r="261" spans="2:4" x14ac:dyDescent="0.25">
      <c r="B261" s="68">
        <v>2018</v>
      </c>
      <c r="C261" t="s">
        <v>883</v>
      </c>
      <c r="D261">
        <v>1</v>
      </c>
    </row>
    <row r="262" spans="2:4" x14ac:dyDescent="0.25">
      <c r="B262" s="68">
        <v>2018</v>
      </c>
      <c r="C262" t="s">
        <v>867</v>
      </c>
      <c r="D262">
        <v>48</v>
      </c>
    </row>
    <row r="263" spans="2:4" x14ac:dyDescent="0.25">
      <c r="B263" s="68">
        <v>2018</v>
      </c>
      <c r="C263" t="s">
        <v>867</v>
      </c>
      <c r="D263">
        <v>747</v>
      </c>
    </row>
    <row r="264" spans="2:4" x14ac:dyDescent="0.25">
      <c r="B264" s="68">
        <v>2019</v>
      </c>
      <c r="C264" t="s">
        <v>883</v>
      </c>
      <c r="D264">
        <v>1</v>
      </c>
    </row>
    <row r="265" spans="2:4" x14ac:dyDescent="0.25">
      <c r="B265" s="68">
        <v>2020</v>
      </c>
      <c r="C265" t="s">
        <v>623</v>
      </c>
      <c r="D265">
        <v>16740</v>
      </c>
    </row>
    <row r="266" spans="2:4" x14ac:dyDescent="0.25">
      <c r="B266" s="68">
        <v>2020</v>
      </c>
      <c r="C266" t="s">
        <v>883</v>
      </c>
      <c r="D266">
        <v>1</v>
      </c>
    </row>
    <row r="267" spans="2:4" x14ac:dyDescent="0.25">
      <c r="B267" s="68">
        <v>2020</v>
      </c>
      <c r="C267" t="s">
        <v>883</v>
      </c>
      <c r="D267">
        <v>1</v>
      </c>
    </row>
    <row r="268" spans="2:4" x14ac:dyDescent="0.25">
      <c r="B268" s="68">
        <v>2018</v>
      </c>
      <c r="C268" t="s">
        <v>883</v>
      </c>
      <c r="D268">
        <v>2</v>
      </c>
    </row>
    <row r="269" spans="2:4" x14ac:dyDescent="0.25">
      <c r="B269" s="68">
        <v>2018</v>
      </c>
      <c r="C269" t="s">
        <v>883</v>
      </c>
      <c r="D269">
        <v>1</v>
      </c>
    </row>
    <row r="270" spans="2:4" ht="12.75" customHeight="1" x14ac:dyDescent="0.25">
      <c r="B270" s="68">
        <v>2018</v>
      </c>
      <c r="C270" t="s">
        <v>883</v>
      </c>
      <c r="D270">
        <v>7</v>
      </c>
    </row>
    <row r="271" spans="2:4" x14ac:dyDescent="0.25">
      <c r="B271" s="68">
        <v>2018</v>
      </c>
      <c r="C271" t="s">
        <v>883</v>
      </c>
      <c r="D271">
        <v>14</v>
      </c>
    </row>
    <row r="272" spans="2:4" x14ac:dyDescent="0.25">
      <c r="B272" s="68">
        <v>2018</v>
      </c>
      <c r="C272" t="s">
        <v>883</v>
      </c>
      <c r="D272">
        <v>5</v>
      </c>
    </row>
    <row r="273" spans="2:4" x14ac:dyDescent="0.25">
      <c r="B273" s="68">
        <v>2018</v>
      </c>
      <c r="C273" t="s">
        <v>883</v>
      </c>
      <c r="D273">
        <v>2</v>
      </c>
    </row>
    <row r="274" spans="2:4" x14ac:dyDescent="0.25">
      <c r="B274" s="68">
        <v>2018</v>
      </c>
      <c r="C274" t="s">
        <v>883</v>
      </c>
      <c r="D274">
        <v>1</v>
      </c>
    </row>
    <row r="275" spans="2:4" x14ac:dyDescent="0.25">
      <c r="B275" s="68">
        <v>2018</v>
      </c>
      <c r="C275" t="s">
        <v>883</v>
      </c>
      <c r="D275">
        <v>3</v>
      </c>
    </row>
    <row r="276" spans="2:4" x14ac:dyDescent="0.25">
      <c r="B276" s="68">
        <v>2018</v>
      </c>
      <c r="C276" t="s">
        <v>883</v>
      </c>
      <c r="D276">
        <v>2</v>
      </c>
    </row>
    <row r="277" spans="2:4" x14ac:dyDescent="0.25">
      <c r="B277" s="68">
        <v>2018</v>
      </c>
      <c r="C277" t="s">
        <v>883</v>
      </c>
      <c r="D277">
        <v>3</v>
      </c>
    </row>
    <row r="278" spans="2:4" x14ac:dyDescent="0.25">
      <c r="B278" s="68">
        <v>2018</v>
      </c>
      <c r="C278" t="s">
        <v>883</v>
      </c>
      <c r="D278">
        <v>5</v>
      </c>
    </row>
    <row r="279" spans="2:4" x14ac:dyDescent="0.25">
      <c r="B279" s="68">
        <v>2019</v>
      </c>
      <c r="C279" t="s">
        <v>883</v>
      </c>
      <c r="D279">
        <v>1</v>
      </c>
    </row>
    <row r="280" spans="2:4" x14ac:dyDescent="0.25">
      <c r="B280" s="68">
        <v>2019</v>
      </c>
      <c r="C280" t="s">
        <v>883</v>
      </c>
      <c r="D280">
        <v>1</v>
      </c>
    </row>
    <row r="281" spans="2:4" x14ac:dyDescent="0.25">
      <c r="B281" s="68">
        <v>2019</v>
      </c>
      <c r="C281" t="s">
        <v>883</v>
      </c>
      <c r="D281">
        <v>1</v>
      </c>
    </row>
    <row r="282" spans="2:4" x14ac:dyDescent="0.25">
      <c r="B282" s="68">
        <v>2019</v>
      </c>
      <c r="C282" t="s">
        <v>883</v>
      </c>
      <c r="D282">
        <v>1</v>
      </c>
    </row>
    <row r="283" spans="2:4" x14ac:dyDescent="0.25">
      <c r="B283" s="68">
        <v>2020</v>
      </c>
      <c r="C283" t="s">
        <v>883</v>
      </c>
      <c r="D283">
        <v>1</v>
      </c>
    </row>
    <row r="284" spans="2:4" x14ac:dyDescent="0.25">
      <c r="B284" s="68">
        <v>2020</v>
      </c>
      <c r="C284" t="s">
        <v>883</v>
      </c>
      <c r="D284">
        <v>1</v>
      </c>
    </row>
    <row r="285" spans="2:4" x14ac:dyDescent="0.25">
      <c r="B285" s="68">
        <v>2020</v>
      </c>
      <c r="C285" t="s">
        <v>883</v>
      </c>
      <c r="D285">
        <v>1</v>
      </c>
    </row>
    <row r="286" spans="2:4" x14ac:dyDescent="0.25">
      <c r="B286" s="68">
        <v>2020</v>
      </c>
      <c r="C286" t="s">
        <v>883</v>
      </c>
      <c r="D286">
        <v>1</v>
      </c>
    </row>
    <row r="287" spans="2:4" x14ac:dyDescent="0.25">
      <c r="B287" s="68">
        <v>2020</v>
      </c>
      <c r="C287" t="s">
        <v>883</v>
      </c>
      <c r="D287">
        <v>1</v>
      </c>
    </row>
    <row r="288" spans="2:4" x14ac:dyDescent="0.25">
      <c r="B288" s="68">
        <v>2020</v>
      </c>
      <c r="C288" t="s">
        <v>883</v>
      </c>
      <c r="D288">
        <v>1</v>
      </c>
    </row>
    <row r="289" spans="2:4" x14ac:dyDescent="0.25">
      <c r="B289" s="68">
        <v>2020</v>
      </c>
      <c r="C289" t="s">
        <v>883</v>
      </c>
      <c r="D289">
        <v>1</v>
      </c>
    </row>
    <row r="290" spans="2:4" x14ac:dyDescent="0.25">
      <c r="B290" s="68">
        <v>2020</v>
      </c>
      <c r="C290" t="s">
        <v>883</v>
      </c>
      <c r="D290">
        <v>1</v>
      </c>
    </row>
    <row r="291" spans="2:4" x14ac:dyDescent="0.25">
      <c r="B291" s="68">
        <v>2020</v>
      </c>
      <c r="C291" t="s">
        <v>883</v>
      </c>
      <c r="D291">
        <v>1</v>
      </c>
    </row>
    <row r="292" spans="2:4" x14ac:dyDescent="0.25">
      <c r="B292" s="68">
        <v>2019</v>
      </c>
      <c r="C292" t="s">
        <v>883</v>
      </c>
      <c r="D292">
        <v>7</v>
      </c>
    </row>
    <row r="293" spans="2:4" x14ac:dyDescent="0.25">
      <c r="B293" s="68">
        <v>2020</v>
      </c>
      <c r="C293" t="s">
        <v>883</v>
      </c>
      <c r="D293">
        <v>1</v>
      </c>
    </row>
    <row r="294" spans="2:4" x14ac:dyDescent="0.25">
      <c r="B294" s="68">
        <v>2019</v>
      </c>
      <c r="C294" t="s">
        <v>883</v>
      </c>
      <c r="D294">
        <v>1</v>
      </c>
    </row>
    <row r="295" spans="2:4" x14ac:dyDescent="0.25">
      <c r="B295" s="68">
        <v>2019</v>
      </c>
      <c r="C295" t="s">
        <v>883</v>
      </c>
      <c r="D295">
        <v>1</v>
      </c>
    </row>
    <row r="296" spans="2:4" x14ac:dyDescent="0.25">
      <c r="B296" s="68">
        <v>2020</v>
      </c>
      <c r="C296" t="s">
        <v>883</v>
      </c>
      <c r="D296">
        <v>1</v>
      </c>
    </row>
    <row r="297" spans="2:4" x14ac:dyDescent="0.25">
      <c r="B297" s="68">
        <v>2020</v>
      </c>
      <c r="C297" t="s">
        <v>883</v>
      </c>
      <c r="D297">
        <v>1</v>
      </c>
    </row>
    <row r="298" spans="2:4" x14ac:dyDescent="0.25">
      <c r="B298" s="68">
        <v>2020</v>
      </c>
      <c r="C298" t="s">
        <v>883</v>
      </c>
      <c r="D298">
        <v>1</v>
      </c>
    </row>
    <row r="299" spans="2:4" x14ac:dyDescent="0.25">
      <c r="B299" s="68">
        <v>2019</v>
      </c>
      <c r="C299" t="s">
        <v>883</v>
      </c>
      <c r="D299">
        <v>1</v>
      </c>
    </row>
    <row r="300" spans="2:4" x14ac:dyDescent="0.25">
      <c r="B300" s="68">
        <v>2018</v>
      </c>
      <c r="C300" t="s">
        <v>609</v>
      </c>
      <c r="D300">
        <v>2947</v>
      </c>
    </row>
    <row r="301" spans="2:4" x14ac:dyDescent="0.25">
      <c r="B301" s="68">
        <v>2018</v>
      </c>
      <c r="C301" t="s">
        <v>609</v>
      </c>
      <c r="D301">
        <v>3243.6</v>
      </c>
    </row>
    <row r="302" spans="2:4" x14ac:dyDescent="0.25">
      <c r="B302" s="68">
        <v>2018</v>
      </c>
      <c r="C302" t="s">
        <v>609</v>
      </c>
      <c r="D302">
        <v>13065</v>
      </c>
    </row>
    <row r="303" spans="2:4" x14ac:dyDescent="0.25">
      <c r="B303" s="68">
        <v>2018</v>
      </c>
      <c r="C303" t="s">
        <v>609</v>
      </c>
      <c r="D303">
        <v>4373.5</v>
      </c>
    </row>
    <row r="304" spans="2:4" x14ac:dyDescent="0.25">
      <c r="B304" s="68">
        <v>2018</v>
      </c>
      <c r="C304" t="s">
        <v>609</v>
      </c>
      <c r="D304">
        <v>3937</v>
      </c>
    </row>
    <row r="305" spans="2:4" x14ac:dyDescent="0.25">
      <c r="B305" s="68">
        <v>2019</v>
      </c>
      <c r="C305" t="s">
        <v>609</v>
      </c>
      <c r="D305">
        <v>1600</v>
      </c>
    </row>
    <row r="306" spans="2:4" x14ac:dyDescent="0.25">
      <c r="B306" s="68">
        <v>2018</v>
      </c>
      <c r="C306" t="s">
        <v>609</v>
      </c>
      <c r="D306">
        <v>2463</v>
      </c>
    </row>
    <row r="307" spans="2:4" x14ac:dyDescent="0.25">
      <c r="B307" s="68">
        <v>2018</v>
      </c>
      <c r="C307" t="s">
        <v>646</v>
      </c>
      <c r="D307">
        <v>9</v>
      </c>
    </row>
    <row r="308" spans="2:4" x14ac:dyDescent="0.25">
      <c r="B308" s="68">
        <v>2019</v>
      </c>
      <c r="C308" t="s">
        <v>567</v>
      </c>
      <c r="D308">
        <v>338</v>
      </c>
    </row>
    <row r="309" spans="2:4" x14ac:dyDescent="0.25">
      <c r="B309" s="68">
        <v>2021</v>
      </c>
      <c r="C309" t="s">
        <v>573</v>
      </c>
      <c r="D309">
        <v>3200</v>
      </c>
    </row>
    <row r="310" spans="2:4" x14ac:dyDescent="0.25">
      <c r="B310" s="68">
        <v>2020</v>
      </c>
      <c r="C310" t="s">
        <v>567</v>
      </c>
      <c r="D310">
        <v>164</v>
      </c>
    </row>
    <row r="311" spans="2:4" x14ac:dyDescent="0.25">
      <c r="B311" s="68">
        <v>2019</v>
      </c>
      <c r="C311" t="s">
        <v>567</v>
      </c>
      <c r="D311">
        <v>877</v>
      </c>
    </row>
    <row r="312" spans="2:4" x14ac:dyDescent="0.25">
      <c r="B312" s="68">
        <v>2020</v>
      </c>
      <c r="C312" t="s">
        <v>571</v>
      </c>
      <c r="D312">
        <v>316</v>
      </c>
    </row>
    <row r="313" spans="2:4" x14ac:dyDescent="0.25">
      <c r="B313" s="68">
        <v>2020</v>
      </c>
      <c r="C313" t="s">
        <v>573</v>
      </c>
      <c r="D313">
        <v>228</v>
      </c>
    </row>
    <row r="314" spans="2:4" x14ac:dyDescent="0.25">
      <c r="B314" s="68">
        <v>2019</v>
      </c>
      <c r="C314" t="s">
        <v>611</v>
      </c>
      <c r="D314">
        <v>26.22</v>
      </c>
    </row>
    <row r="315" spans="2:4" x14ac:dyDescent="0.25">
      <c r="B315" s="68">
        <v>2021</v>
      </c>
      <c r="C315" t="s">
        <v>567</v>
      </c>
      <c r="D315">
        <v>323</v>
      </c>
    </row>
    <row r="316" spans="2:4" x14ac:dyDescent="0.25">
      <c r="B316" s="68">
        <v>2019</v>
      </c>
      <c r="C316" t="s">
        <v>567</v>
      </c>
      <c r="D316">
        <v>55</v>
      </c>
    </row>
    <row r="317" spans="2:4" x14ac:dyDescent="0.25">
      <c r="B317" s="68">
        <v>2017</v>
      </c>
      <c r="C317" t="s">
        <v>567</v>
      </c>
      <c r="D317">
        <v>131</v>
      </c>
    </row>
    <row r="318" spans="2:4" x14ac:dyDescent="0.25">
      <c r="B318" s="68">
        <v>2020</v>
      </c>
      <c r="C318" t="s">
        <v>567</v>
      </c>
      <c r="D318">
        <v>672</v>
      </c>
    </row>
    <row r="319" spans="2:4" x14ac:dyDescent="0.25">
      <c r="B319" s="68">
        <v>2019</v>
      </c>
      <c r="C319" t="s">
        <v>611</v>
      </c>
      <c r="D319">
        <v>8.1890000000000001</v>
      </c>
    </row>
    <row r="320" spans="2:4" x14ac:dyDescent="0.25">
      <c r="B320" s="68">
        <v>2020</v>
      </c>
      <c r="C320" t="s">
        <v>567</v>
      </c>
      <c r="D320">
        <v>239</v>
      </c>
    </row>
    <row r="321" spans="2:11" x14ac:dyDescent="0.25">
      <c r="B321" s="68">
        <v>2021</v>
      </c>
      <c r="C321" t="s">
        <v>569</v>
      </c>
      <c r="D321">
        <v>7452</v>
      </c>
      <c r="H321" s="68"/>
      <c r="K321" s="68"/>
    </row>
    <row r="322" spans="2:11" x14ac:dyDescent="0.25">
      <c r="B322" s="68">
        <v>2021</v>
      </c>
      <c r="C322" t="s">
        <v>569</v>
      </c>
      <c r="D322">
        <v>400</v>
      </c>
      <c r="H322" s="68"/>
      <c r="K322" s="68"/>
    </row>
    <row r="323" spans="2:11" x14ac:dyDescent="0.25">
      <c r="B323" s="68">
        <v>2021</v>
      </c>
      <c r="C323" t="s">
        <v>573</v>
      </c>
      <c r="D323">
        <v>400</v>
      </c>
      <c r="H323" s="68"/>
      <c r="K323" s="68"/>
    </row>
    <row r="324" spans="2:11" x14ac:dyDescent="0.25">
      <c r="B324" s="68">
        <v>2020</v>
      </c>
      <c r="C324" t="s">
        <v>571</v>
      </c>
      <c r="D324">
        <v>192</v>
      </c>
      <c r="H324" s="68"/>
      <c r="K324" s="68"/>
    </row>
    <row r="325" spans="2:11" x14ac:dyDescent="0.25">
      <c r="B325" s="68">
        <v>2020</v>
      </c>
      <c r="C325" t="s">
        <v>571</v>
      </c>
      <c r="D325">
        <v>164</v>
      </c>
      <c r="H325" s="68"/>
      <c r="K325" s="68"/>
    </row>
    <row r="326" spans="2:11" x14ac:dyDescent="0.25">
      <c r="B326" s="68">
        <v>2020</v>
      </c>
      <c r="C326" t="s">
        <v>650</v>
      </c>
      <c r="D326">
        <v>2</v>
      </c>
      <c r="H326" s="68"/>
      <c r="K326" s="68"/>
    </row>
    <row r="327" spans="2:11" x14ac:dyDescent="0.25">
      <c r="B327" s="68">
        <v>2020</v>
      </c>
      <c r="C327" t="s">
        <v>689</v>
      </c>
      <c r="D327">
        <v>1</v>
      </c>
      <c r="H327" s="68"/>
      <c r="K327" s="68"/>
    </row>
    <row r="328" spans="2:11" x14ac:dyDescent="0.25">
      <c r="B328" s="68">
        <v>2020</v>
      </c>
      <c r="C328" t="s">
        <v>689</v>
      </c>
      <c r="D328">
        <v>1</v>
      </c>
      <c r="H328" s="68"/>
      <c r="K328" s="68"/>
    </row>
    <row r="329" spans="2:11" x14ac:dyDescent="0.25">
      <c r="B329" s="68">
        <v>2018</v>
      </c>
      <c r="C329" t="s">
        <v>605</v>
      </c>
      <c r="D329">
        <v>24</v>
      </c>
      <c r="H329" s="68"/>
      <c r="K329" s="68"/>
    </row>
    <row r="330" spans="2:11" x14ac:dyDescent="0.25">
      <c r="B330" s="68">
        <v>2018</v>
      </c>
      <c r="C330" t="s">
        <v>579</v>
      </c>
      <c r="D330">
        <v>27</v>
      </c>
      <c r="H330" s="68"/>
      <c r="K330" s="68"/>
    </row>
    <row r="331" spans="2:11" x14ac:dyDescent="0.25">
      <c r="B331" s="68">
        <v>2018</v>
      </c>
      <c r="C331" t="s">
        <v>676</v>
      </c>
      <c r="D331">
        <v>0.4</v>
      </c>
      <c r="H331" s="68"/>
      <c r="K331" s="68"/>
    </row>
    <row r="332" spans="2:11" x14ac:dyDescent="0.25">
      <c r="B332" s="68">
        <v>2018</v>
      </c>
      <c r="C332" t="s">
        <v>676</v>
      </c>
      <c r="D332">
        <v>0.08</v>
      </c>
      <c r="H332" s="68"/>
      <c r="K332" s="68"/>
    </row>
    <row r="333" spans="2:11" x14ac:dyDescent="0.25">
      <c r="B333" s="68">
        <v>2018</v>
      </c>
      <c r="C333" t="s">
        <v>676</v>
      </c>
      <c r="D333">
        <v>8.2600000000000007E-2</v>
      </c>
      <c r="H333" s="68"/>
      <c r="K333" s="68"/>
    </row>
    <row r="334" spans="2:11" x14ac:dyDescent="0.25">
      <c r="B334" s="68">
        <v>2018</v>
      </c>
      <c r="C334" t="s">
        <v>636</v>
      </c>
      <c r="D334">
        <v>3.45</v>
      </c>
      <c r="H334" s="68"/>
      <c r="K334" s="68"/>
    </row>
    <row r="335" spans="2:11" x14ac:dyDescent="0.25">
      <c r="B335" s="68">
        <v>2020</v>
      </c>
      <c r="C335" t="s">
        <v>636</v>
      </c>
      <c r="D335">
        <v>3.83</v>
      </c>
      <c r="H335" s="68"/>
      <c r="K335" s="68"/>
    </row>
    <row r="336" spans="2:11" x14ac:dyDescent="0.25">
      <c r="B336" s="68">
        <v>2020</v>
      </c>
      <c r="C336" t="s">
        <v>676</v>
      </c>
      <c r="D336">
        <v>0.41299999999999998</v>
      </c>
      <c r="H336" s="68"/>
      <c r="K336" s="68"/>
    </row>
    <row r="337" spans="2:11" x14ac:dyDescent="0.25">
      <c r="B337" s="68">
        <v>2019</v>
      </c>
      <c r="C337" t="s">
        <v>636</v>
      </c>
      <c r="D337">
        <v>5</v>
      </c>
      <c r="H337" s="68"/>
      <c r="K337" s="68"/>
    </row>
    <row r="338" spans="2:11" x14ac:dyDescent="0.25">
      <c r="B338" s="68">
        <v>2018</v>
      </c>
      <c r="C338" t="s">
        <v>636</v>
      </c>
      <c r="D338">
        <v>128</v>
      </c>
      <c r="H338" s="68"/>
      <c r="K338" s="68"/>
    </row>
    <row r="339" spans="2:11" x14ac:dyDescent="0.25">
      <c r="B339" s="68">
        <v>2023</v>
      </c>
      <c r="C339" t="s">
        <v>636</v>
      </c>
      <c r="D339">
        <v>4.2</v>
      </c>
      <c r="H339" s="68"/>
      <c r="K339" s="68"/>
    </row>
    <row r="340" spans="2:11" x14ac:dyDescent="0.25">
      <c r="B340" s="68">
        <v>2018</v>
      </c>
      <c r="C340" t="s">
        <v>636</v>
      </c>
      <c r="D340">
        <v>5</v>
      </c>
      <c r="H340" s="68"/>
      <c r="K340" s="68"/>
    </row>
    <row r="341" spans="2:11" x14ac:dyDescent="0.25">
      <c r="B341" s="68">
        <v>2020</v>
      </c>
      <c r="C341" t="s">
        <v>615</v>
      </c>
      <c r="D341">
        <v>1</v>
      </c>
      <c r="H341" s="68"/>
      <c r="K341" s="68"/>
    </row>
    <row r="342" spans="2:11" x14ac:dyDescent="0.25">
      <c r="B342" s="68">
        <v>2020</v>
      </c>
      <c r="C342" t="s">
        <v>615</v>
      </c>
      <c r="D342">
        <v>1</v>
      </c>
      <c r="H342" s="68"/>
      <c r="K342" s="68"/>
    </row>
    <row r="343" spans="2:11" x14ac:dyDescent="0.25">
      <c r="B343" s="68">
        <v>2019</v>
      </c>
      <c r="C343" t="s">
        <v>577</v>
      </c>
      <c r="D343">
        <v>2</v>
      </c>
      <c r="H343" s="68"/>
      <c r="K343" s="68"/>
    </row>
    <row r="344" spans="2:11" x14ac:dyDescent="0.25">
      <c r="B344" s="68">
        <v>2018</v>
      </c>
      <c r="C344" t="s">
        <v>577</v>
      </c>
      <c r="D344">
        <v>1</v>
      </c>
      <c r="H344" s="68"/>
      <c r="K344" s="68"/>
    </row>
    <row r="345" spans="2:11" x14ac:dyDescent="0.25">
      <c r="B345" s="68">
        <v>2020</v>
      </c>
      <c r="C345" t="s">
        <v>577</v>
      </c>
      <c r="D345">
        <v>3</v>
      </c>
      <c r="H345" s="68"/>
      <c r="K345" s="68"/>
    </row>
    <row r="346" spans="2:11" hidden="1" x14ac:dyDescent="0.25">
      <c r="B346" s="68">
        <v>2020</v>
      </c>
      <c r="F346"/>
    </row>
    <row r="347" spans="2:11" hidden="1" x14ac:dyDescent="0.25">
      <c r="B347" s="68">
        <v>2019</v>
      </c>
      <c r="F347"/>
    </row>
    <row r="348" spans="2:11" hidden="1" x14ac:dyDescent="0.25">
      <c r="B348" s="68">
        <v>2015</v>
      </c>
      <c r="F348"/>
    </row>
    <row r="349" spans="2:11" hidden="1" x14ac:dyDescent="0.25">
      <c r="B349" s="68">
        <v>2023</v>
      </c>
      <c r="F349"/>
    </row>
    <row r="350" spans="2:11" hidden="1" x14ac:dyDescent="0.25">
      <c r="B350" s="68">
        <v>2017</v>
      </c>
      <c r="F350"/>
    </row>
    <row r="351" spans="2:11" hidden="1" x14ac:dyDescent="0.25">
      <c r="B351" s="68">
        <v>2021</v>
      </c>
      <c r="F351"/>
    </row>
    <row r="352" spans="2:11" hidden="1" x14ac:dyDescent="0.25">
      <c r="B352" s="68">
        <v>2019</v>
      </c>
      <c r="F352"/>
    </row>
    <row r="353" spans="2:6" hidden="1" x14ac:dyDescent="0.25">
      <c r="B353" s="68">
        <v>2020</v>
      </c>
      <c r="F353"/>
    </row>
    <row r="354" spans="2:6" x14ac:dyDescent="0.25">
      <c r="B354" s="68">
        <v>2023</v>
      </c>
      <c r="C354" t="s">
        <v>561</v>
      </c>
      <c r="D354">
        <v>702</v>
      </c>
      <c r="F354"/>
    </row>
    <row r="355" spans="2:6" hidden="1" x14ac:dyDescent="0.25">
      <c r="B355" s="68">
        <v>2018</v>
      </c>
      <c r="F355"/>
    </row>
    <row r="356" spans="2:6" hidden="1" x14ac:dyDescent="0.25">
      <c r="B356" s="68">
        <v>2018</v>
      </c>
      <c r="F356"/>
    </row>
    <row r="357" spans="2:6" hidden="1" x14ac:dyDescent="0.25">
      <c r="B357" s="68">
        <v>2018</v>
      </c>
      <c r="F357"/>
    </row>
    <row r="358" spans="2:6" hidden="1" x14ac:dyDescent="0.25">
      <c r="B358" s="68">
        <v>2018</v>
      </c>
      <c r="F358"/>
    </row>
    <row r="359" spans="2:6" hidden="1" x14ac:dyDescent="0.25">
      <c r="B359" s="68">
        <v>2021</v>
      </c>
      <c r="F359"/>
    </row>
    <row r="360" spans="2:6" hidden="1" x14ac:dyDescent="0.25">
      <c r="B360" s="68">
        <v>2017</v>
      </c>
      <c r="F360"/>
    </row>
    <row r="361" spans="2:6" hidden="1" x14ac:dyDescent="0.25">
      <c r="B361" s="68">
        <v>2018</v>
      </c>
      <c r="F361"/>
    </row>
    <row r="362" spans="2:6" hidden="1" x14ac:dyDescent="0.25">
      <c r="B362" s="68">
        <v>2023</v>
      </c>
      <c r="F362"/>
    </row>
    <row r="363" spans="2:6" x14ac:dyDescent="0.25">
      <c r="B363" s="68">
        <v>2023</v>
      </c>
      <c r="C363" t="s">
        <v>563</v>
      </c>
      <c r="D363">
        <v>16</v>
      </c>
      <c r="F363"/>
    </row>
    <row r="364" spans="2:6" hidden="1" x14ac:dyDescent="0.25">
      <c r="B364" s="68">
        <v>2018</v>
      </c>
      <c r="F364"/>
    </row>
    <row r="365" spans="2:6" hidden="1" x14ac:dyDescent="0.25">
      <c r="B365" s="68">
        <v>2020</v>
      </c>
      <c r="F365"/>
    </row>
    <row r="366" spans="2:6" hidden="1" x14ac:dyDescent="0.25">
      <c r="B366" s="68">
        <v>2020</v>
      </c>
      <c r="F366"/>
    </row>
    <row r="367" spans="2:6" hidden="1" x14ac:dyDescent="0.25">
      <c r="B367" s="68">
        <v>2020</v>
      </c>
      <c r="F367"/>
    </row>
    <row r="368" spans="2:6" hidden="1" x14ac:dyDescent="0.25">
      <c r="B368" s="68">
        <v>2020</v>
      </c>
      <c r="F368"/>
    </row>
    <row r="369" spans="2:6" hidden="1" x14ac:dyDescent="0.25">
      <c r="B369" s="68">
        <v>2019</v>
      </c>
      <c r="F369"/>
    </row>
    <row r="370" spans="2:6" x14ac:dyDescent="0.25">
      <c r="B370" s="68">
        <v>2020</v>
      </c>
      <c r="C370" t="s">
        <v>561</v>
      </c>
      <c r="D370">
        <v>3534</v>
      </c>
      <c r="F370"/>
    </row>
    <row r="371" spans="2:6" hidden="1" x14ac:dyDescent="0.25">
      <c r="B371" s="68">
        <v>2020</v>
      </c>
      <c r="F371"/>
    </row>
    <row r="372" spans="2:6" hidden="1" x14ac:dyDescent="0.25">
      <c r="B372" s="68">
        <v>2018</v>
      </c>
      <c r="F372"/>
    </row>
    <row r="373" spans="2:6" hidden="1" x14ac:dyDescent="0.25">
      <c r="B373" s="68">
        <v>2018</v>
      </c>
      <c r="F373"/>
    </row>
    <row r="374" spans="2:6" hidden="1" x14ac:dyDescent="0.25">
      <c r="B374" s="68">
        <v>2018</v>
      </c>
      <c r="F374"/>
    </row>
    <row r="375" spans="2:6" x14ac:dyDescent="0.25">
      <c r="B375" s="68">
        <v>2019</v>
      </c>
      <c r="C375" t="s">
        <v>563</v>
      </c>
      <c r="D375">
        <v>794.02</v>
      </c>
      <c r="F375"/>
    </row>
    <row r="376" spans="2:6" hidden="1" x14ac:dyDescent="0.25">
      <c r="B376" s="68">
        <v>2020</v>
      </c>
      <c r="F376"/>
    </row>
    <row r="377" spans="2:6" x14ac:dyDescent="0.25">
      <c r="B377" s="68">
        <v>2019</v>
      </c>
      <c r="C377" t="s">
        <v>703</v>
      </c>
      <c r="D377">
        <v>1.7041000000000001E-2</v>
      </c>
      <c r="F377"/>
    </row>
    <row r="378" spans="2:6" x14ac:dyDescent="0.25">
      <c r="B378" s="68">
        <v>2018</v>
      </c>
      <c r="C378" t="s">
        <v>617</v>
      </c>
      <c r="D378">
        <v>17</v>
      </c>
      <c r="F378"/>
    </row>
    <row r="379" spans="2:6" hidden="1" x14ac:dyDescent="0.25">
      <c r="B379" s="68">
        <v>2019</v>
      </c>
      <c r="F379"/>
    </row>
    <row r="380" spans="2:6" x14ac:dyDescent="0.25">
      <c r="B380" s="68">
        <v>2020</v>
      </c>
      <c r="C380" t="s">
        <v>703</v>
      </c>
      <c r="D380">
        <v>0.5</v>
      </c>
      <c r="F380"/>
    </row>
    <row r="381" spans="2:6" hidden="1" x14ac:dyDescent="0.25">
      <c r="B381" s="68">
        <v>2020</v>
      </c>
      <c r="F381"/>
    </row>
    <row r="382" spans="2:6" x14ac:dyDescent="0.25">
      <c r="B382" s="68">
        <v>2019</v>
      </c>
      <c r="C382" t="s">
        <v>617</v>
      </c>
      <c r="D382">
        <v>4</v>
      </c>
      <c r="F382"/>
    </row>
    <row r="383" spans="2:6" x14ac:dyDescent="0.25">
      <c r="B383" s="68">
        <v>2020</v>
      </c>
      <c r="C383" t="s">
        <v>617</v>
      </c>
      <c r="D383">
        <v>1</v>
      </c>
      <c r="F383"/>
    </row>
    <row r="384" spans="2:6" x14ac:dyDescent="0.25">
      <c r="B384" s="68">
        <v>2019</v>
      </c>
      <c r="C384" t="s">
        <v>703</v>
      </c>
      <c r="D384">
        <v>3.0999999999999999E-3</v>
      </c>
      <c r="F384"/>
    </row>
    <row r="385" spans="2:6" x14ac:dyDescent="0.25">
      <c r="B385" s="68">
        <v>2020</v>
      </c>
      <c r="C385" t="s">
        <v>703</v>
      </c>
      <c r="D385">
        <v>0.34169498799999998</v>
      </c>
      <c r="F385"/>
    </row>
    <row r="386" spans="2:6" x14ac:dyDescent="0.25">
      <c r="B386" s="68">
        <v>2020</v>
      </c>
      <c r="C386" t="s">
        <v>703</v>
      </c>
      <c r="D386">
        <v>0.09</v>
      </c>
      <c r="F386"/>
    </row>
    <row r="387" spans="2:6" x14ac:dyDescent="0.25">
      <c r="B387" s="68">
        <v>2021</v>
      </c>
      <c r="C387" t="s">
        <v>557</v>
      </c>
      <c r="D387">
        <v>1.1000000000000001</v>
      </c>
      <c r="F387"/>
    </row>
    <row r="388" spans="2:6" hidden="1" x14ac:dyDescent="0.25">
      <c r="B388" s="68">
        <v>2020</v>
      </c>
      <c r="F388"/>
    </row>
    <row r="389" spans="2:6" x14ac:dyDescent="0.25">
      <c r="B389" s="68">
        <v>2020</v>
      </c>
      <c r="C389" t="s">
        <v>617</v>
      </c>
      <c r="D389">
        <v>1</v>
      </c>
      <c r="F389"/>
    </row>
    <row r="390" spans="2:6" x14ac:dyDescent="0.25">
      <c r="B390" s="68">
        <v>2018</v>
      </c>
      <c r="C390" t="s">
        <v>617</v>
      </c>
      <c r="D390">
        <v>7</v>
      </c>
      <c r="F390"/>
    </row>
    <row r="391" spans="2:6" x14ac:dyDescent="0.25">
      <c r="B391" s="68">
        <v>2019</v>
      </c>
      <c r="C391" t="s">
        <v>617</v>
      </c>
      <c r="D391">
        <v>1</v>
      </c>
      <c r="F391"/>
    </row>
    <row r="392" spans="2:6" x14ac:dyDescent="0.25">
      <c r="B392" s="68">
        <v>2020</v>
      </c>
      <c r="C392" t="s">
        <v>617</v>
      </c>
      <c r="D392">
        <v>1</v>
      </c>
      <c r="F392"/>
    </row>
    <row r="393" spans="2:6" hidden="1" x14ac:dyDescent="0.25">
      <c r="B393" s="68">
        <v>2020</v>
      </c>
      <c r="F393"/>
    </row>
    <row r="394" spans="2:6" hidden="1" x14ac:dyDescent="0.25">
      <c r="B394" s="68">
        <v>2021</v>
      </c>
      <c r="F394"/>
    </row>
    <row r="395" spans="2:6" x14ac:dyDescent="0.25">
      <c r="B395" s="68">
        <v>2019</v>
      </c>
      <c r="C395" t="s">
        <v>703</v>
      </c>
      <c r="D395">
        <v>4.86E-4</v>
      </c>
      <c r="F395"/>
    </row>
    <row r="396" spans="2:6" x14ac:dyDescent="0.25">
      <c r="B396" s="68">
        <v>2020</v>
      </c>
      <c r="C396" t="s">
        <v>703</v>
      </c>
      <c r="D396">
        <v>2.433E-4</v>
      </c>
      <c r="F396"/>
    </row>
    <row r="397" spans="2:6" hidden="1" x14ac:dyDescent="0.25">
      <c r="B397" s="68">
        <v>2020</v>
      </c>
      <c r="F397"/>
    </row>
    <row r="398" spans="2:6" hidden="1" x14ac:dyDescent="0.25">
      <c r="B398" s="68">
        <v>2023</v>
      </c>
      <c r="F398"/>
    </row>
    <row r="399" spans="2:6" hidden="1" x14ac:dyDescent="0.25">
      <c r="B399" s="68">
        <v>2022</v>
      </c>
      <c r="F399"/>
    </row>
    <row r="400" spans="2:6" hidden="1" x14ac:dyDescent="0.25">
      <c r="B400" s="68">
        <v>2023</v>
      </c>
      <c r="F400"/>
    </row>
    <row r="401" spans="2:6" x14ac:dyDescent="0.25">
      <c r="B401" s="68">
        <v>2020</v>
      </c>
      <c r="C401" t="s">
        <v>617</v>
      </c>
      <c r="D401">
        <v>1</v>
      </c>
      <c r="F401"/>
    </row>
    <row r="402" spans="2:6" hidden="1" x14ac:dyDescent="0.25">
      <c r="B402" s="68">
        <v>2017</v>
      </c>
      <c r="F402"/>
    </row>
    <row r="403" spans="2:6" hidden="1" x14ac:dyDescent="0.25">
      <c r="B403" s="68">
        <v>2022</v>
      </c>
      <c r="F403"/>
    </row>
    <row r="404" spans="2:6" hidden="1" x14ac:dyDescent="0.25">
      <c r="B404" s="68">
        <v>2018</v>
      </c>
      <c r="F404"/>
    </row>
    <row r="405" spans="2:6" hidden="1" x14ac:dyDescent="0.25">
      <c r="B405" s="68">
        <v>2018</v>
      </c>
      <c r="F405"/>
    </row>
    <row r="406" spans="2:6" hidden="1" x14ac:dyDescent="0.25">
      <c r="B406" s="68">
        <v>2018</v>
      </c>
      <c r="F406"/>
    </row>
    <row r="407" spans="2:6" hidden="1" x14ac:dyDescent="0.25">
      <c r="B407" s="68">
        <v>2021</v>
      </c>
      <c r="F407"/>
    </row>
    <row r="408" spans="2:6" hidden="1" x14ac:dyDescent="0.25">
      <c r="B408" s="68">
        <v>2017</v>
      </c>
      <c r="F408"/>
    </row>
    <row r="409" spans="2:6" hidden="1" x14ac:dyDescent="0.25">
      <c r="B409" s="68">
        <v>2018</v>
      </c>
      <c r="F409"/>
    </row>
    <row r="410" spans="2:6" hidden="1" x14ac:dyDescent="0.25">
      <c r="B410" s="68">
        <v>2022</v>
      </c>
      <c r="F410"/>
    </row>
    <row r="411" spans="2:6" x14ac:dyDescent="0.25">
      <c r="B411" s="68">
        <v>2020</v>
      </c>
      <c r="C411" t="s">
        <v>601</v>
      </c>
      <c r="D411">
        <v>0.48799999999999999</v>
      </c>
      <c r="F411"/>
    </row>
    <row r="412" spans="2:6" hidden="1" x14ac:dyDescent="0.25">
      <c r="B412" s="68">
        <v>2020</v>
      </c>
      <c r="F412"/>
    </row>
    <row r="413" spans="2:6" hidden="1" x14ac:dyDescent="0.25">
      <c r="B413" s="68">
        <v>2019</v>
      </c>
      <c r="F413"/>
    </row>
    <row r="414" spans="2:6" hidden="1" x14ac:dyDescent="0.25">
      <c r="B414" s="68">
        <v>2018</v>
      </c>
      <c r="F414"/>
    </row>
    <row r="415" spans="2:6" hidden="1" x14ac:dyDescent="0.25">
      <c r="B415" s="68">
        <v>2020</v>
      </c>
      <c r="F415"/>
    </row>
    <row r="416" spans="2:6" hidden="1" x14ac:dyDescent="0.25">
      <c r="B416" s="68">
        <v>2020</v>
      </c>
      <c r="F416"/>
    </row>
    <row r="417" spans="2:6" hidden="1" x14ac:dyDescent="0.25">
      <c r="B417" s="68">
        <v>2018</v>
      </c>
      <c r="F417"/>
    </row>
    <row r="418" spans="2:6" hidden="1" x14ac:dyDescent="0.25">
      <c r="B418" s="68">
        <v>2018</v>
      </c>
      <c r="F418"/>
    </row>
    <row r="419" spans="2:6" hidden="1" x14ac:dyDescent="0.25">
      <c r="B419" s="68">
        <v>2020</v>
      </c>
      <c r="F419"/>
    </row>
    <row r="420" spans="2:6" hidden="1" x14ac:dyDescent="0.25">
      <c r="B420" s="68">
        <v>2020</v>
      </c>
      <c r="F420"/>
    </row>
    <row r="421" spans="2:6" hidden="1" x14ac:dyDescent="0.25">
      <c r="B421" s="68">
        <v>2020</v>
      </c>
      <c r="F421"/>
    </row>
    <row r="422" spans="2:6" hidden="1" x14ac:dyDescent="0.25">
      <c r="B422" s="68">
        <v>2021</v>
      </c>
      <c r="F422"/>
    </row>
    <row r="423" spans="2:6" hidden="1" x14ac:dyDescent="0.25">
      <c r="B423" s="68">
        <v>2020</v>
      </c>
      <c r="F423"/>
    </row>
    <row r="424" spans="2:6" x14ac:dyDescent="0.25">
      <c r="B424" s="68">
        <v>2019</v>
      </c>
      <c r="C424" t="s">
        <v>701</v>
      </c>
      <c r="D424">
        <v>2000</v>
      </c>
      <c r="F424"/>
    </row>
    <row r="425" spans="2:6" x14ac:dyDescent="0.25">
      <c r="B425" s="68">
        <v>2019</v>
      </c>
      <c r="C425" t="s">
        <v>869</v>
      </c>
      <c r="D425">
        <v>5</v>
      </c>
      <c r="F425"/>
    </row>
    <row r="426" spans="2:6" x14ac:dyDescent="0.25">
      <c r="B426" s="68">
        <v>2019</v>
      </c>
      <c r="C426" t="s">
        <v>555</v>
      </c>
      <c r="D426">
        <v>3400</v>
      </c>
      <c r="F426"/>
    </row>
    <row r="427" spans="2:6" x14ac:dyDescent="0.25">
      <c r="B427" s="68">
        <v>2019</v>
      </c>
      <c r="C427" t="s">
        <v>555</v>
      </c>
      <c r="D427">
        <v>1200</v>
      </c>
      <c r="F427"/>
    </row>
    <row r="428" spans="2:6" hidden="1" x14ac:dyDescent="0.25">
      <c r="B428" s="68">
        <v>2019</v>
      </c>
      <c r="F428"/>
    </row>
    <row r="429" spans="2:6" hidden="1" x14ac:dyDescent="0.25">
      <c r="B429" s="68">
        <v>2018</v>
      </c>
      <c r="F429"/>
    </row>
    <row r="430" spans="2:6" hidden="1" x14ac:dyDescent="0.25">
      <c r="B430" s="68">
        <v>2019</v>
      </c>
      <c r="F430"/>
    </row>
    <row r="431" spans="2:6" hidden="1" x14ac:dyDescent="0.25">
      <c r="B431" s="68">
        <v>2019</v>
      </c>
      <c r="F431"/>
    </row>
    <row r="432" spans="2:6" hidden="1" x14ac:dyDescent="0.25">
      <c r="B432" s="68">
        <v>2018</v>
      </c>
      <c r="F432"/>
    </row>
    <row r="433" spans="2:6" x14ac:dyDescent="0.25">
      <c r="B433" s="68">
        <v>2020</v>
      </c>
      <c r="C433" t="s">
        <v>613</v>
      </c>
      <c r="D433">
        <v>1</v>
      </c>
      <c r="F433"/>
    </row>
    <row r="434" spans="2:6" x14ac:dyDescent="0.25">
      <c r="B434" s="68">
        <v>2019</v>
      </c>
      <c r="C434" t="s">
        <v>613</v>
      </c>
      <c r="D434">
        <v>1</v>
      </c>
      <c r="F434"/>
    </row>
    <row r="435" spans="2:6" x14ac:dyDescent="0.25">
      <c r="B435" s="68">
        <v>2019</v>
      </c>
      <c r="C435" t="s">
        <v>702</v>
      </c>
      <c r="D435">
        <v>1</v>
      </c>
      <c r="F435"/>
    </row>
    <row r="436" spans="2:6" x14ac:dyDescent="0.25">
      <c r="B436" s="68">
        <v>2019</v>
      </c>
      <c r="C436" t="s">
        <v>701</v>
      </c>
      <c r="D436">
        <v>800</v>
      </c>
      <c r="F436"/>
    </row>
    <row r="437" spans="2:6" hidden="1" x14ac:dyDescent="0.25">
      <c r="B437" s="68">
        <v>2019</v>
      </c>
      <c r="F437"/>
    </row>
    <row r="438" spans="2:6" hidden="1" x14ac:dyDescent="0.25">
      <c r="B438" s="68">
        <v>2019</v>
      </c>
      <c r="F438"/>
    </row>
    <row r="439" spans="2:6" hidden="1" x14ac:dyDescent="0.25">
      <c r="B439" s="68">
        <v>2021</v>
      </c>
      <c r="F439"/>
    </row>
    <row r="440" spans="2:6" x14ac:dyDescent="0.25">
      <c r="B440" s="68">
        <v>2020</v>
      </c>
      <c r="C440" t="s">
        <v>563</v>
      </c>
      <c r="D440">
        <v>5320</v>
      </c>
      <c r="F440"/>
    </row>
    <row r="441" spans="2:6" hidden="1" x14ac:dyDescent="0.25">
      <c r="B441" s="68">
        <v>2020</v>
      </c>
      <c r="F441"/>
    </row>
    <row r="442" spans="2:6" hidden="1" x14ac:dyDescent="0.25">
      <c r="B442" s="68">
        <v>2019</v>
      </c>
      <c r="F442"/>
    </row>
    <row r="443" spans="2:6" hidden="1" x14ac:dyDescent="0.25">
      <c r="B443" s="68">
        <v>2021</v>
      </c>
      <c r="F443"/>
    </row>
    <row r="444" spans="2:6" x14ac:dyDescent="0.25">
      <c r="B444" s="68">
        <v>2019</v>
      </c>
      <c r="C444" t="s">
        <v>629</v>
      </c>
      <c r="D444">
        <v>2</v>
      </c>
      <c r="F444"/>
    </row>
    <row r="445" spans="2:6" x14ac:dyDescent="0.25">
      <c r="B445" s="68">
        <v>2020</v>
      </c>
      <c r="C445" t="s">
        <v>593</v>
      </c>
      <c r="D445">
        <v>1</v>
      </c>
      <c r="F445"/>
    </row>
    <row r="446" spans="2:6" x14ac:dyDescent="0.25">
      <c r="B446" s="68">
        <v>2020</v>
      </c>
      <c r="C446" t="s">
        <v>593</v>
      </c>
      <c r="D446">
        <v>2</v>
      </c>
      <c r="F446"/>
    </row>
    <row r="447" spans="2:6" x14ac:dyDescent="0.25">
      <c r="B447" s="68">
        <v>2020</v>
      </c>
      <c r="C447" t="s">
        <v>629</v>
      </c>
      <c r="F447"/>
    </row>
    <row r="448" spans="2:6" x14ac:dyDescent="0.25">
      <c r="B448" s="68">
        <v>2019</v>
      </c>
      <c r="C448" t="s">
        <v>593</v>
      </c>
      <c r="D448">
        <v>1</v>
      </c>
      <c r="F448"/>
    </row>
    <row r="449" spans="2:6" x14ac:dyDescent="0.25">
      <c r="B449" s="68">
        <v>2020</v>
      </c>
      <c r="C449" t="s">
        <v>593</v>
      </c>
      <c r="D449">
        <v>1</v>
      </c>
      <c r="F449"/>
    </row>
    <row r="450" spans="2:6" x14ac:dyDescent="0.25">
      <c r="B450" s="68">
        <v>2019</v>
      </c>
      <c r="C450" t="s">
        <v>591</v>
      </c>
      <c r="D450">
        <v>1</v>
      </c>
      <c r="F450"/>
    </row>
    <row r="451" spans="2:6" x14ac:dyDescent="0.25">
      <c r="B451" s="68">
        <v>2019</v>
      </c>
      <c r="C451" t="s">
        <v>591</v>
      </c>
      <c r="D451">
        <v>1</v>
      </c>
      <c r="F451"/>
    </row>
    <row r="452" spans="2:6" x14ac:dyDescent="0.25">
      <c r="B452" s="68">
        <v>2019</v>
      </c>
      <c r="C452" t="s">
        <v>654</v>
      </c>
      <c r="D452">
        <v>200</v>
      </c>
      <c r="F452"/>
    </row>
    <row r="453" spans="2:6" x14ac:dyDescent="0.25">
      <c r="B453" s="68">
        <v>2019</v>
      </c>
      <c r="C453" t="s">
        <v>654</v>
      </c>
      <c r="D453">
        <v>200</v>
      </c>
      <c r="F453"/>
    </row>
    <row r="454" spans="2:6" x14ac:dyDescent="0.25">
      <c r="B454" s="68">
        <v>2019</v>
      </c>
      <c r="C454" t="s">
        <v>654</v>
      </c>
      <c r="D454">
        <v>225</v>
      </c>
      <c r="F454"/>
    </row>
    <row r="455" spans="2:6" x14ac:dyDescent="0.25">
      <c r="B455" s="68">
        <v>2020</v>
      </c>
      <c r="C455" t="s">
        <v>654</v>
      </c>
      <c r="D455">
        <v>20</v>
      </c>
      <c r="F455"/>
    </row>
    <row r="456" spans="2:6" x14ac:dyDescent="0.25">
      <c r="B456" s="68">
        <v>2020</v>
      </c>
      <c r="C456" t="s">
        <v>593</v>
      </c>
      <c r="D456">
        <v>1</v>
      </c>
      <c r="F456"/>
    </row>
    <row r="457" spans="2:6" x14ac:dyDescent="0.25">
      <c r="B457" s="68">
        <v>2020</v>
      </c>
      <c r="C457" t="s">
        <v>654</v>
      </c>
      <c r="D457">
        <v>180</v>
      </c>
      <c r="F457"/>
    </row>
    <row r="458" spans="2:6" x14ac:dyDescent="0.25">
      <c r="B458" s="68">
        <v>2019</v>
      </c>
      <c r="C458" t="s">
        <v>867</v>
      </c>
      <c r="D458">
        <v>812</v>
      </c>
      <c r="F458"/>
    </row>
    <row r="459" spans="2:6" x14ac:dyDescent="0.25">
      <c r="B459" s="68">
        <v>2020</v>
      </c>
      <c r="C459" t="s">
        <v>654</v>
      </c>
      <c r="D459">
        <v>185</v>
      </c>
      <c r="F459"/>
    </row>
    <row r="460" spans="2:6" x14ac:dyDescent="0.25">
      <c r="B460" s="68">
        <v>2020</v>
      </c>
      <c r="C460" t="s">
        <v>654</v>
      </c>
      <c r="D460">
        <v>1090</v>
      </c>
      <c r="F460"/>
    </row>
    <row r="461" spans="2:6" x14ac:dyDescent="0.25">
      <c r="B461" s="68">
        <v>2020</v>
      </c>
      <c r="C461" t="s">
        <v>654</v>
      </c>
      <c r="D461">
        <v>192</v>
      </c>
      <c r="F461"/>
    </row>
    <row r="462" spans="2:6" hidden="1" x14ac:dyDescent="0.25">
      <c r="B462" s="68">
        <v>2017</v>
      </c>
      <c r="F462"/>
    </row>
    <row r="463" spans="2:6" hidden="1" x14ac:dyDescent="0.25">
      <c r="B463" s="68">
        <v>2020</v>
      </c>
      <c r="F463"/>
    </row>
    <row r="464" spans="2:6" hidden="1" x14ac:dyDescent="0.25">
      <c r="B464" s="68">
        <v>2020</v>
      </c>
      <c r="F464"/>
    </row>
    <row r="465" spans="2:6" hidden="1" x14ac:dyDescent="0.25">
      <c r="B465" s="68">
        <v>2020</v>
      </c>
      <c r="F465"/>
    </row>
    <row r="466" spans="2:6" hidden="1" x14ac:dyDescent="0.25">
      <c r="B466" s="68">
        <v>2018</v>
      </c>
      <c r="F466"/>
    </row>
    <row r="467" spans="2:6" hidden="1" x14ac:dyDescent="0.25">
      <c r="B467" s="68">
        <v>2018</v>
      </c>
      <c r="F467"/>
    </row>
    <row r="468" spans="2:6" hidden="1" x14ac:dyDescent="0.25">
      <c r="B468" s="68">
        <v>2017</v>
      </c>
      <c r="F468"/>
    </row>
    <row r="469" spans="2:6" x14ac:dyDescent="0.25">
      <c r="B469" s="68">
        <v>2020</v>
      </c>
      <c r="C469" t="s">
        <v>694</v>
      </c>
      <c r="D469">
        <v>1</v>
      </c>
      <c r="F469"/>
    </row>
    <row r="470" spans="2:6" x14ac:dyDescent="0.25">
      <c r="B470" s="68">
        <v>2021</v>
      </c>
      <c r="C470" t="s">
        <v>694</v>
      </c>
      <c r="D470">
        <v>1</v>
      </c>
      <c r="F470"/>
    </row>
    <row r="471" spans="2:6" x14ac:dyDescent="0.25">
      <c r="B471" s="68">
        <v>2019</v>
      </c>
      <c r="C471" t="s">
        <v>694</v>
      </c>
      <c r="D471">
        <v>1</v>
      </c>
      <c r="F471"/>
    </row>
    <row r="472" spans="2:6" x14ac:dyDescent="0.25">
      <c r="B472" s="68">
        <v>2020</v>
      </c>
      <c r="C472" t="s">
        <v>654</v>
      </c>
      <c r="D472">
        <v>50</v>
      </c>
      <c r="F472"/>
    </row>
    <row r="473" spans="2:6" x14ac:dyDescent="0.25">
      <c r="B473" s="68">
        <v>2020</v>
      </c>
      <c r="C473" t="s">
        <v>654</v>
      </c>
      <c r="D473">
        <v>104</v>
      </c>
      <c r="F473"/>
    </row>
    <row r="474" spans="2:6" x14ac:dyDescent="0.25">
      <c r="B474" s="68">
        <v>2018</v>
      </c>
      <c r="C474" t="s">
        <v>633</v>
      </c>
      <c r="D474">
        <v>30</v>
      </c>
      <c r="F474"/>
    </row>
    <row r="475" spans="2:6" x14ac:dyDescent="0.25">
      <c r="B475" s="68">
        <v>2020</v>
      </c>
      <c r="C475" t="s">
        <v>633</v>
      </c>
      <c r="D475">
        <v>70</v>
      </c>
      <c r="F475"/>
    </row>
    <row r="476" spans="2:6" x14ac:dyDescent="0.25">
      <c r="B476" s="68">
        <v>2020</v>
      </c>
      <c r="C476" t="s">
        <v>633</v>
      </c>
      <c r="D476">
        <v>25</v>
      </c>
      <c r="F476"/>
    </row>
    <row r="477" spans="2:6" x14ac:dyDescent="0.25">
      <c r="B477" s="68">
        <v>2020</v>
      </c>
      <c r="C477" t="s">
        <v>633</v>
      </c>
      <c r="D477">
        <v>30</v>
      </c>
      <c r="F477"/>
    </row>
    <row r="478" spans="2:6" x14ac:dyDescent="0.25">
      <c r="B478" s="68">
        <v>2021</v>
      </c>
      <c r="C478" t="s">
        <v>633</v>
      </c>
      <c r="D478">
        <v>23</v>
      </c>
      <c r="F478"/>
    </row>
    <row r="479" spans="2:6" x14ac:dyDescent="0.25">
      <c r="B479" s="68">
        <v>2020</v>
      </c>
      <c r="C479" t="s">
        <v>654</v>
      </c>
      <c r="D479">
        <v>756</v>
      </c>
      <c r="F479"/>
    </row>
    <row r="480" spans="2:6" x14ac:dyDescent="0.25">
      <c r="B480" s="68">
        <v>2020</v>
      </c>
      <c r="C480" t="s">
        <v>654</v>
      </c>
      <c r="D480">
        <v>480</v>
      </c>
      <c r="F480"/>
    </row>
    <row r="481" spans="2:6" x14ac:dyDescent="0.25">
      <c r="B481" s="68">
        <v>2018</v>
      </c>
      <c r="C481" t="s">
        <v>595</v>
      </c>
      <c r="D481">
        <v>1</v>
      </c>
      <c r="F481"/>
    </row>
    <row r="482" spans="2:6" x14ac:dyDescent="0.25">
      <c r="B482" s="68">
        <v>2018</v>
      </c>
      <c r="C482" t="s">
        <v>595</v>
      </c>
      <c r="D482">
        <v>1</v>
      </c>
      <c r="F482"/>
    </row>
    <row r="483" spans="2:6" x14ac:dyDescent="0.25">
      <c r="B483" s="68">
        <v>2020</v>
      </c>
      <c r="C483" t="s">
        <v>654</v>
      </c>
      <c r="D483">
        <v>800</v>
      </c>
      <c r="F483"/>
    </row>
    <row r="484" spans="2:6" x14ac:dyDescent="0.25">
      <c r="B484" s="68">
        <v>2020</v>
      </c>
      <c r="C484" t="s">
        <v>595</v>
      </c>
      <c r="D484">
        <v>1</v>
      </c>
      <c r="F484"/>
    </row>
    <row r="485" spans="2:6" x14ac:dyDescent="0.25">
      <c r="B485" s="68">
        <v>2020</v>
      </c>
      <c r="C485" t="s">
        <v>595</v>
      </c>
      <c r="D485">
        <v>1</v>
      </c>
      <c r="F485"/>
    </row>
    <row r="486" spans="2:6" x14ac:dyDescent="0.25">
      <c r="B486" s="68">
        <v>2019</v>
      </c>
      <c r="C486" t="s">
        <v>595</v>
      </c>
      <c r="D486">
        <v>1</v>
      </c>
      <c r="F486"/>
    </row>
    <row r="487" spans="2:6" x14ac:dyDescent="0.25">
      <c r="B487" s="68">
        <v>2020</v>
      </c>
      <c r="C487" t="s">
        <v>595</v>
      </c>
      <c r="D487">
        <v>1</v>
      </c>
      <c r="F487"/>
    </row>
    <row r="488" spans="2:6" x14ac:dyDescent="0.25">
      <c r="B488" s="68">
        <v>2021</v>
      </c>
      <c r="C488" t="s">
        <v>638</v>
      </c>
      <c r="D488">
        <v>31</v>
      </c>
      <c r="F488"/>
    </row>
    <row r="489" spans="2:6" x14ac:dyDescent="0.25">
      <c r="B489" s="68">
        <v>2020</v>
      </c>
      <c r="C489" t="s">
        <v>638</v>
      </c>
      <c r="D489">
        <v>118</v>
      </c>
      <c r="F489"/>
    </row>
    <row r="490" spans="2:6" x14ac:dyDescent="0.25">
      <c r="B490" s="68">
        <v>2019</v>
      </c>
      <c r="C490" t="s">
        <v>638</v>
      </c>
      <c r="D490">
        <v>40</v>
      </c>
      <c r="F490"/>
    </row>
    <row r="491" spans="2:6" x14ac:dyDescent="0.25">
      <c r="B491" s="68">
        <v>2019</v>
      </c>
      <c r="C491" t="s">
        <v>638</v>
      </c>
      <c r="D491">
        <v>61</v>
      </c>
      <c r="F491"/>
    </row>
    <row r="492" spans="2:6" x14ac:dyDescent="0.25">
      <c r="B492" s="68">
        <v>2019</v>
      </c>
      <c r="C492" t="s">
        <v>638</v>
      </c>
      <c r="D492">
        <v>45</v>
      </c>
      <c r="F492"/>
    </row>
    <row r="493" spans="2:6" x14ac:dyDescent="0.25">
      <c r="B493" s="68">
        <v>2019</v>
      </c>
      <c r="C493" t="s">
        <v>638</v>
      </c>
      <c r="D493">
        <v>73</v>
      </c>
      <c r="F493"/>
    </row>
    <row r="494" spans="2:6" x14ac:dyDescent="0.25">
      <c r="B494" s="68">
        <v>2019</v>
      </c>
      <c r="C494" t="s">
        <v>638</v>
      </c>
      <c r="D494">
        <v>10</v>
      </c>
      <c r="F494"/>
    </row>
    <row r="495" spans="2:6" x14ac:dyDescent="0.25">
      <c r="B495" s="68">
        <v>2021</v>
      </c>
      <c r="C495" t="s">
        <v>638</v>
      </c>
      <c r="D495">
        <v>40</v>
      </c>
      <c r="F495"/>
    </row>
    <row r="496" spans="2:6" x14ac:dyDescent="0.25">
      <c r="B496" s="68">
        <v>2021</v>
      </c>
      <c r="C496" t="s">
        <v>638</v>
      </c>
      <c r="D496">
        <v>60</v>
      </c>
      <c r="F496"/>
    </row>
    <row r="497" spans="2:6" hidden="1" x14ac:dyDescent="0.25">
      <c r="B497" s="68">
        <v>2019</v>
      </c>
      <c r="F497"/>
    </row>
    <row r="498" spans="2:6" hidden="1" x14ac:dyDescent="0.25">
      <c r="B498" s="68">
        <v>2018</v>
      </c>
      <c r="F498"/>
    </row>
    <row r="499" spans="2:6" hidden="1" x14ac:dyDescent="0.25">
      <c r="B499" s="68">
        <v>2022</v>
      </c>
      <c r="F499"/>
    </row>
    <row r="500" spans="2:6" hidden="1" x14ac:dyDescent="0.25">
      <c r="B500" s="68">
        <v>2017</v>
      </c>
      <c r="F500"/>
    </row>
    <row r="501" spans="2:6" hidden="1" x14ac:dyDescent="0.25">
      <c r="B501" s="68">
        <v>2019</v>
      </c>
      <c r="F501"/>
    </row>
    <row r="502" spans="2:6" hidden="1" x14ac:dyDescent="0.25">
      <c r="B502" s="68">
        <v>2018</v>
      </c>
      <c r="F502"/>
    </row>
    <row r="503" spans="2:6" hidden="1" x14ac:dyDescent="0.25">
      <c r="B503" s="68">
        <v>2020</v>
      </c>
      <c r="F503"/>
    </row>
    <row r="504" spans="2:6" hidden="1" x14ac:dyDescent="0.25">
      <c r="B504" s="68">
        <v>2018</v>
      </c>
      <c r="F504"/>
    </row>
    <row r="505" spans="2:6" hidden="1" x14ac:dyDescent="0.25">
      <c r="B505" s="68">
        <v>2021</v>
      </c>
      <c r="F505"/>
    </row>
    <row r="506" spans="2:6" hidden="1" x14ac:dyDescent="0.25">
      <c r="B506" s="68">
        <v>2020</v>
      </c>
      <c r="F506"/>
    </row>
    <row r="507" spans="2:6" hidden="1" x14ac:dyDescent="0.25">
      <c r="B507" s="68">
        <v>2021</v>
      </c>
      <c r="F507"/>
    </row>
    <row r="508" spans="2:6" hidden="1" x14ac:dyDescent="0.25">
      <c r="B508" s="68">
        <v>2021</v>
      </c>
      <c r="F508"/>
    </row>
    <row r="509" spans="2:6" hidden="1" x14ac:dyDescent="0.25">
      <c r="B509" s="68">
        <v>2020</v>
      </c>
      <c r="F509"/>
    </row>
    <row r="510" spans="2:6" hidden="1" x14ac:dyDescent="0.25">
      <c r="B510" s="68">
        <v>2022</v>
      </c>
      <c r="F510"/>
    </row>
    <row r="511" spans="2:6" hidden="1" x14ac:dyDescent="0.25">
      <c r="B511" s="68">
        <v>2020</v>
      </c>
      <c r="F511"/>
    </row>
    <row r="512" spans="2:6" hidden="1" x14ac:dyDescent="0.25">
      <c r="B512" s="68">
        <v>2022</v>
      </c>
      <c r="F512"/>
    </row>
    <row r="513" spans="2:6" x14ac:dyDescent="0.25">
      <c r="B513" s="68">
        <v>2020</v>
      </c>
      <c r="C513" t="s">
        <v>559</v>
      </c>
      <c r="D513">
        <v>34000</v>
      </c>
      <c r="F513"/>
    </row>
    <row r="514" spans="2:6" x14ac:dyDescent="0.25">
      <c r="B514" s="68">
        <v>2020</v>
      </c>
      <c r="C514" t="s">
        <v>559</v>
      </c>
      <c r="D514">
        <v>34600</v>
      </c>
      <c r="F514"/>
    </row>
    <row r="515" spans="2:6" x14ac:dyDescent="0.25">
      <c r="B515" s="68">
        <v>2020</v>
      </c>
      <c r="C515" t="s">
        <v>559</v>
      </c>
      <c r="D515">
        <v>44851</v>
      </c>
      <c r="F515"/>
    </row>
    <row r="516" spans="2:6" x14ac:dyDescent="0.25">
      <c r="B516" s="68">
        <v>2020</v>
      </c>
      <c r="C516" t="s">
        <v>559</v>
      </c>
      <c r="D516">
        <v>5148</v>
      </c>
      <c r="F516"/>
    </row>
    <row r="517" spans="2:6" x14ac:dyDescent="0.25">
      <c r="B517" s="68">
        <v>2020</v>
      </c>
      <c r="C517" t="s">
        <v>559</v>
      </c>
      <c r="D517">
        <v>20349</v>
      </c>
      <c r="F517"/>
    </row>
    <row r="518" spans="2:6" x14ac:dyDescent="0.25">
      <c r="B518" s="68">
        <v>2020</v>
      </c>
      <c r="C518" t="s">
        <v>559</v>
      </c>
      <c r="D518">
        <v>4437</v>
      </c>
      <c r="F518"/>
    </row>
    <row r="519" spans="2:6" x14ac:dyDescent="0.25">
      <c r="B519" s="68">
        <v>2020</v>
      </c>
      <c r="C519" t="s">
        <v>559</v>
      </c>
      <c r="D519">
        <v>4137</v>
      </c>
      <c r="F519"/>
    </row>
    <row r="520" spans="2:6" x14ac:dyDescent="0.25">
      <c r="B520" s="68">
        <v>2019</v>
      </c>
      <c r="C520" t="s">
        <v>559</v>
      </c>
      <c r="D520">
        <v>2188</v>
      </c>
      <c r="F520"/>
    </row>
    <row r="521" spans="2:6" x14ac:dyDescent="0.25">
      <c r="B521" s="68">
        <v>2020</v>
      </c>
      <c r="C521" t="s">
        <v>559</v>
      </c>
      <c r="D521">
        <v>7217</v>
      </c>
      <c r="F521"/>
    </row>
    <row r="522" spans="2:6" x14ac:dyDescent="0.25">
      <c r="B522" s="68">
        <v>2020</v>
      </c>
      <c r="C522" t="s">
        <v>559</v>
      </c>
      <c r="D522">
        <v>6676</v>
      </c>
      <c r="F522"/>
    </row>
    <row r="523" spans="2:6" x14ac:dyDescent="0.25">
      <c r="B523" s="68">
        <v>2019</v>
      </c>
      <c r="C523" t="s">
        <v>559</v>
      </c>
      <c r="D523">
        <v>1800</v>
      </c>
      <c r="F523"/>
    </row>
    <row r="524" spans="2:6" x14ac:dyDescent="0.25">
      <c r="B524" s="68">
        <v>2020</v>
      </c>
      <c r="C524" t="s">
        <v>559</v>
      </c>
      <c r="D524">
        <v>6381</v>
      </c>
      <c r="F524"/>
    </row>
    <row r="525" spans="2:6" x14ac:dyDescent="0.25">
      <c r="B525" s="68">
        <v>2019</v>
      </c>
      <c r="C525" t="s">
        <v>559</v>
      </c>
      <c r="D525">
        <v>680</v>
      </c>
      <c r="F525"/>
    </row>
    <row r="526" spans="2:6" x14ac:dyDescent="0.25">
      <c r="B526" s="68">
        <v>2020</v>
      </c>
      <c r="C526" t="s">
        <v>559</v>
      </c>
      <c r="D526">
        <v>2037</v>
      </c>
      <c r="F526"/>
    </row>
    <row r="527" spans="2:6" x14ac:dyDescent="0.25">
      <c r="B527" s="68">
        <v>2020</v>
      </c>
      <c r="C527" t="s">
        <v>559</v>
      </c>
      <c r="D527">
        <v>4158</v>
      </c>
      <c r="F527"/>
    </row>
    <row r="528" spans="2:6" x14ac:dyDescent="0.25">
      <c r="B528" s="68">
        <v>2019</v>
      </c>
      <c r="C528" t="s">
        <v>559</v>
      </c>
      <c r="D528">
        <v>1882</v>
      </c>
      <c r="F528"/>
    </row>
    <row r="529" spans="2:6" x14ac:dyDescent="0.25">
      <c r="B529" s="68">
        <v>2019</v>
      </c>
      <c r="C529" t="s">
        <v>559</v>
      </c>
      <c r="D529">
        <v>828</v>
      </c>
      <c r="F529"/>
    </row>
    <row r="530" spans="2:6" x14ac:dyDescent="0.25">
      <c r="B530" s="68">
        <v>2019</v>
      </c>
      <c r="C530" t="s">
        <v>559</v>
      </c>
      <c r="D530">
        <v>837</v>
      </c>
      <c r="F530"/>
    </row>
    <row r="531" spans="2:6" x14ac:dyDescent="0.25">
      <c r="B531" s="68">
        <v>2020</v>
      </c>
      <c r="C531" t="s">
        <v>559</v>
      </c>
      <c r="D531">
        <v>11385</v>
      </c>
      <c r="F531"/>
    </row>
    <row r="532" spans="2:6" x14ac:dyDescent="0.25">
      <c r="B532" s="68">
        <v>2020</v>
      </c>
      <c r="C532" t="s">
        <v>559</v>
      </c>
      <c r="D532">
        <v>90000</v>
      </c>
      <c r="F532"/>
    </row>
    <row r="533" spans="2:6" x14ac:dyDescent="0.25">
      <c r="B533" s="68">
        <v>2019</v>
      </c>
      <c r="C533" t="s">
        <v>559</v>
      </c>
      <c r="D533">
        <v>11000</v>
      </c>
      <c r="F533"/>
    </row>
    <row r="534" spans="2:6" x14ac:dyDescent="0.25">
      <c r="B534" s="68">
        <v>2020</v>
      </c>
      <c r="C534" t="s">
        <v>559</v>
      </c>
      <c r="D534">
        <v>8209</v>
      </c>
      <c r="F534"/>
    </row>
    <row r="535" spans="2:6" x14ac:dyDescent="0.25">
      <c r="B535" s="68">
        <v>2020</v>
      </c>
      <c r="C535" t="s">
        <v>559</v>
      </c>
      <c r="D535">
        <v>8891</v>
      </c>
      <c r="F535"/>
    </row>
    <row r="536" spans="2:6" x14ac:dyDescent="0.25">
      <c r="B536" s="68">
        <v>2020</v>
      </c>
      <c r="C536" t="s">
        <v>559</v>
      </c>
      <c r="D536">
        <v>5971</v>
      </c>
      <c r="F536"/>
    </row>
    <row r="537" spans="2:6" x14ac:dyDescent="0.25">
      <c r="B537" s="68">
        <v>2020</v>
      </c>
      <c r="C537" t="s">
        <v>559</v>
      </c>
      <c r="D537">
        <v>2294</v>
      </c>
      <c r="F537"/>
    </row>
    <row r="538" spans="2:6" x14ac:dyDescent="0.25">
      <c r="B538" s="68">
        <v>2020</v>
      </c>
      <c r="C538" t="s">
        <v>559</v>
      </c>
      <c r="D538">
        <v>3230</v>
      </c>
      <c r="F538"/>
    </row>
    <row r="539" spans="2:6" x14ac:dyDescent="0.25">
      <c r="B539" s="68">
        <v>2020</v>
      </c>
      <c r="C539" t="s">
        <v>559</v>
      </c>
      <c r="D539">
        <v>2750</v>
      </c>
      <c r="F539"/>
    </row>
    <row r="540" spans="2:6" x14ac:dyDescent="0.25">
      <c r="B540" s="68">
        <v>2020</v>
      </c>
      <c r="C540" t="s">
        <v>559</v>
      </c>
      <c r="D540">
        <v>2075</v>
      </c>
      <c r="F540"/>
    </row>
    <row r="541" spans="2:6" x14ac:dyDescent="0.25">
      <c r="B541" s="68">
        <v>2019</v>
      </c>
      <c r="C541" t="s">
        <v>559</v>
      </c>
      <c r="D541">
        <v>2127</v>
      </c>
      <c r="F541"/>
    </row>
    <row r="542" spans="2:6" x14ac:dyDescent="0.25">
      <c r="B542" s="68">
        <v>2019</v>
      </c>
      <c r="C542" t="s">
        <v>559</v>
      </c>
      <c r="D542">
        <v>1944</v>
      </c>
      <c r="F542"/>
    </row>
    <row r="543" spans="2:6" x14ac:dyDescent="0.25">
      <c r="B543" s="68">
        <v>2020</v>
      </c>
      <c r="C543" t="s">
        <v>559</v>
      </c>
      <c r="D543">
        <v>2488</v>
      </c>
      <c r="F543"/>
    </row>
    <row r="544" spans="2:6" x14ac:dyDescent="0.25">
      <c r="B544" s="68">
        <v>2019</v>
      </c>
      <c r="C544" t="s">
        <v>559</v>
      </c>
      <c r="D544">
        <v>2500</v>
      </c>
      <c r="F544"/>
    </row>
    <row r="545" spans="2:6" x14ac:dyDescent="0.25">
      <c r="B545" s="68">
        <v>2020</v>
      </c>
      <c r="C545" t="s">
        <v>559</v>
      </c>
      <c r="D545">
        <v>1448</v>
      </c>
      <c r="F545"/>
    </row>
    <row r="546" spans="2:6" x14ac:dyDescent="0.25">
      <c r="B546" s="68">
        <v>2020</v>
      </c>
      <c r="C546" t="s">
        <v>559</v>
      </c>
      <c r="D546">
        <v>1616</v>
      </c>
      <c r="F546"/>
    </row>
    <row r="547" spans="2:6" x14ac:dyDescent="0.25">
      <c r="B547" s="68">
        <v>2020</v>
      </c>
      <c r="C547" t="s">
        <v>559</v>
      </c>
      <c r="D547">
        <v>1673</v>
      </c>
      <c r="F547"/>
    </row>
    <row r="548" spans="2:6" x14ac:dyDescent="0.25">
      <c r="B548" s="68">
        <v>2020</v>
      </c>
      <c r="C548" t="s">
        <v>559</v>
      </c>
      <c r="D548">
        <v>1074</v>
      </c>
      <c r="F548"/>
    </row>
    <row r="549" spans="2:6" x14ac:dyDescent="0.25">
      <c r="B549" s="68">
        <v>2020</v>
      </c>
      <c r="C549" t="s">
        <v>559</v>
      </c>
      <c r="D549">
        <v>2412</v>
      </c>
      <c r="F549"/>
    </row>
    <row r="550" spans="2:6" x14ac:dyDescent="0.25">
      <c r="B550" s="68">
        <v>2020</v>
      </c>
      <c r="C550" t="s">
        <v>559</v>
      </c>
      <c r="D550">
        <v>1240</v>
      </c>
      <c r="F550"/>
    </row>
    <row r="551" spans="2:6" x14ac:dyDescent="0.25">
      <c r="B551" s="68">
        <v>2020</v>
      </c>
      <c r="C551" t="s">
        <v>559</v>
      </c>
      <c r="D551">
        <v>1049</v>
      </c>
      <c r="F551"/>
    </row>
    <row r="552" spans="2:6" x14ac:dyDescent="0.25">
      <c r="B552" s="68">
        <v>2019</v>
      </c>
      <c r="C552" t="s">
        <v>559</v>
      </c>
      <c r="D552">
        <v>343</v>
      </c>
      <c r="F552"/>
    </row>
    <row r="553" spans="2:6" x14ac:dyDescent="0.25">
      <c r="B553" s="68">
        <v>2020</v>
      </c>
      <c r="C553" t="s">
        <v>559</v>
      </c>
      <c r="D553">
        <v>377</v>
      </c>
      <c r="F553"/>
    </row>
    <row r="554" spans="2:6" x14ac:dyDescent="0.25">
      <c r="B554" s="68">
        <v>2019</v>
      </c>
      <c r="C554" t="s">
        <v>559</v>
      </c>
      <c r="D554">
        <v>337</v>
      </c>
      <c r="F554"/>
    </row>
    <row r="555" spans="2:6" x14ac:dyDescent="0.25">
      <c r="B555" s="68">
        <v>2019</v>
      </c>
      <c r="C555" t="s">
        <v>559</v>
      </c>
      <c r="D555">
        <v>0</v>
      </c>
      <c r="F555"/>
    </row>
    <row r="556" spans="2:6" x14ac:dyDescent="0.25">
      <c r="B556" s="68">
        <v>2020</v>
      </c>
      <c r="C556" t="s">
        <v>559</v>
      </c>
      <c r="D556">
        <v>9400</v>
      </c>
      <c r="F556"/>
    </row>
    <row r="557" spans="2:6" hidden="1" x14ac:dyDescent="0.25">
      <c r="B557" s="68">
        <v>2022</v>
      </c>
      <c r="F557"/>
    </row>
    <row r="558" spans="2:6" hidden="1" x14ac:dyDescent="0.25">
      <c r="B558" s="68">
        <v>2022</v>
      </c>
      <c r="F558"/>
    </row>
    <row r="559" spans="2:6" hidden="1" x14ac:dyDescent="0.25">
      <c r="B559" s="68">
        <v>2022</v>
      </c>
      <c r="F559"/>
    </row>
    <row r="560" spans="2:6" hidden="1" x14ac:dyDescent="0.25">
      <c r="B560" s="68">
        <v>2022</v>
      </c>
      <c r="F560"/>
    </row>
    <row r="561" spans="2:6" hidden="1" x14ac:dyDescent="0.25">
      <c r="B561" s="68">
        <v>2022</v>
      </c>
      <c r="F561"/>
    </row>
    <row r="562" spans="2:6" hidden="1" x14ac:dyDescent="0.25">
      <c r="B562" s="68">
        <v>2021</v>
      </c>
      <c r="F562"/>
    </row>
    <row r="563" spans="2:6" hidden="1" x14ac:dyDescent="0.25">
      <c r="B563" s="68">
        <v>2022</v>
      </c>
      <c r="F563"/>
    </row>
    <row r="564" spans="2:6" hidden="1" x14ac:dyDescent="0.25">
      <c r="B564" s="68">
        <v>2017</v>
      </c>
      <c r="F564"/>
    </row>
    <row r="565" spans="2:6" hidden="1" x14ac:dyDescent="0.25">
      <c r="B565" s="68">
        <v>2020</v>
      </c>
      <c r="F565"/>
    </row>
    <row r="566" spans="2:6" hidden="1" x14ac:dyDescent="0.25">
      <c r="B566" s="68">
        <v>2019</v>
      </c>
      <c r="F566"/>
    </row>
    <row r="567" spans="2:6" hidden="1" x14ac:dyDescent="0.25">
      <c r="B567" s="68">
        <v>2019</v>
      </c>
      <c r="F567"/>
    </row>
    <row r="568" spans="2:6" hidden="1" x14ac:dyDescent="0.25">
      <c r="B568" s="68">
        <v>2018</v>
      </c>
      <c r="F568"/>
    </row>
    <row r="569" spans="2:6" hidden="1" x14ac:dyDescent="0.25">
      <c r="B569" s="68">
        <v>2020</v>
      </c>
      <c r="F569"/>
    </row>
    <row r="570" spans="2:6" x14ac:dyDescent="0.25">
      <c r="B570" s="68">
        <v>2019</v>
      </c>
      <c r="C570" t="s">
        <v>670</v>
      </c>
      <c r="D570">
        <v>100</v>
      </c>
      <c r="F570"/>
    </row>
    <row r="571" spans="2:6" x14ac:dyDescent="0.25">
      <c r="B571" s="68">
        <v>2020</v>
      </c>
      <c r="C571" t="s">
        <v>670</v>
      </c>
      <c r="D571">
        <v>20</v>
      </c>
      <c r="F571"/>
    </row>
    <row r="572" spans="2:6" hidden="1" x14ac:dyDescent="0.25">
      <c r="B572" s="68">
        <v>2019</v>
      </c>
      <c r="F572"/>
    </row>
    <row r="573" spans="2:6" x14ac:dyDescent="0.25">
      <c r="B573" s="68">
        <v>2020</v>
      </c>
      <c r="C573" t="s">
        <v>625</v>
      </c>
      <c r="D573">
        <v>255.37</v>
      </c>
      <c r="F573"/>
    </row>
    <row r="574" spans="2:6" hidden="1" x14ac:dyDescent="0.25">
      <c r="B574" s="68">
        <v>2019</v>
      </c>
      <c r="F574"/>
    </row>
    <row r="575" spans="2:6" hidden="1" x14ac:dyDescent="0.25">
      <c r="B575" s="68">
        <v>2019</v>
      </c>
      <c r="F575"/>
    </row>
    <row r="576" spans="2:6" hidden="1" x14ac:dyDescent="0.25">
      <c r="B576" s="68">
        <v>2020</v>
      </c>
      <c r="F576"/>
    </row>
    <row r="577" spans="2:6" hidden="1" x14ac:dyDescent="0.25">
      <c r="B577" s="68">
        <v>2020</v>
      </c>
      <c r="F577"/>
    </row>
    <row r="578" spans="2:6" hidden="1" x14ac:dyDescent="0.25">
      <c r="B578" s="68">
        <v>2021</v>
      </c>
      <c r="F578"/>
    </row>
    <row r="579" spans="2:6" hidden="1" x14ac:dyDescent="0.25">
      <c r="B579" s="68">
        <v>2022</v>
      </c>
      <c r="F579"/>
    </row>
    <row r="580" spans="2:6" hidden="1" x14ac:dyDescent="0.25">
      <c r="B580" s="68">
        <v>2020</v>
      </c>
      <c r="F580"/>
    </row>
    <row r="581" spans="2:6" hidden="1" x14ac:dyDescent="0.25">
      <c r="B581" s="68">
        <v>2020</v>
      </c>
      <c r="F581"/>
    </row>
    <row r="582" spans="2:6" x14ac:dyDescent="0.25">
      <c r="B582" s="68">
        <v>2020</v>
      </c>
      <c r="C582" t="s">
        <v>867</v>
      </c>
      <c r="D582">
        <v>553</v>
      </c>
      <c r="F582"/>
    </row>
    <row r="583" spans="2:6" x14ac:dyDescent="0.25">
      <c r="B583" s="68">
        <v>2020</v>
      </c>
      <c r="C583" t="s">
        <v>867</v>
      </c>
      <c r="D583">
        <v>584</v>
      </c>
      <c r="F583"/>
    </row>
    <row r="584" spans="2:6" x14ac:dyDescent="0.25">
      <c r="B584" s="68">
        <v>2018</v>
      </c>
      <c r="C584" t="s">
        <v>867</v>
      </c>
      <c r="D584">
        <v>177</v>
      </c>
      <c r="F584"/>
    </row>
    <row r="585" spans="2:6" hidden="1" x14ac:dyDescent="0.25">
      <c r="B585" s="68">
        <v>2018</v>
      </c>
      <c r="F585"/>
    </row>
    <row r="586" spans="2:6" x14ac:dyDescent="0.25">
      <c r="B586" s="68">
        <v>2018</v>
      </c>
      <c r="C586" t="s">
        <v>868</v>
      </c>
      <c r="D586">
        <v>1</v>
      </c>
      <c r="F586"/>
    </row>
    <row r="587" spans="2:6" hidden="1" x14ac:dyDescent="0.25">
      <c r="B587" s="68">
        <v>2020</v>
      </c>
      <c r="F587"/>
    </row>
    <row r="588" spans="2:6" hidden="1" x14ac:dyDescent="0.25">
      <c r="B588" s="68">
        <v>2020</v>
      </c>
      <c r="F588"/>
    </row>
    <row r="589" spans="2:6" hidden="1" x14ac:dyDescent="0.25">
      <c r="B589" s="68">
        <v>2020</v>
      </c>
      <c r="F589"/>
    </row>
    <row r="590" spans="2:6" hidden="1" x14ac:dyDescent="0.25">
      <c r="B590" s="68">
        <v>2020</v>
      </c>
      <c r="F590"/>
    </row>
    <row r="591" spans="2:6" x14ac:dyDescent="0.25">
      <c r="B591" s="68">
        <v>2020</v>
      </c>
      <c r="C591" t="s">
        <v>625</v>
      </c>
      <c r="D591">
        <v>0</v>
      </c>
      <c r="F591"/>
    </row>
    <row r="592" spans="2:6" x14ac:dyDescent="0.25">
      <c r="B592" s="68">
        <v>2018</v>
      </c>
      <c r="C592" t="s">
        <v>867</v>
      </c>
      <c r="D592">
        <v>543</v>
      </c>
      <c r="F592"/>
    </row>
    <row r="593" spans="2:6" x14ac:dyDescent="0.25">
      <c r="B593" s="68">
        <v>2018</v>
      </c>
      <c r="C593" t="s">
        <v>868</v>
      </c>
      <c r="D593">
        <v>1</v>
      </c>
      <c r="F593"/>
    </row>
    <row r="594" spans="2:6" x14ac:dyDescent="0.25">
      <c r="B594" s="68">
        <v>2019</v>
      </c>
      <c r="C594" t="s">
        <v>867</v>
      </c>
      <c r="D594">
        <v>177</v>
      </c>
      <c r="F594"/>
    </row>
    <row r="595" spans="2:6" x14ac:dyDescent="0.25">
      <c r="B595" s="68">
        <v>2019</v>
      </c>
      <c r="C595" t="s">
        <v>867</v>
      </c>
      <c r="D595">
        <v>877</v>
      </c>
      <c r="F595"/>
    </row>
    <row r="596" spans="2:6" x14ac:dyDescent="0.25">
      <c r="B596" s="68">
        <v>2018</v>
      </c>
      <c r="C596" t="s">
        <v>867</v>
      </c>
      <c r="D596">
        <v>263</v>
      </c>
      <c r="F596"/>
    </row>
    <row r="597" spans="2:6" x14ac:dyDescent="0.25">
      <c r="B597" s="68">
        <v>2018</v>
      </c>
      <c r="C597" t="s">
        <v>867</v>
      </c>
      <c r="D597">
        <v>402</v>
      </c>
      <c r="F597"/>
    </row>
    <row r="598" spans="2:6" x14ac:dyDescent="0.25">
      <c r="B598" s="68">
        <v>2018</v>
      </c>
      <c r="C598" t="s">
        <v>868</v>
      </c>
      <c r="D598">
        <v>1</v>
      </c>
      <c r="F598"/>
    </row>
    <row r="599" spans="2:6" x14ac:dyDescent="0.25">
      <c r="B599" s="68">
        <v>2018</v>
      </c>
      <c r="C599" t="s">
        <v>867</v>
      </c>
      <c r="D599">
        <v>335</v>
      </c>
      <c r="F599"/>
    </row>
    <row r="600" spans="2:6" x14ac:dyDescent="0.25">
      <c r="B600" s="68">
        <v>2018</v>
      </c>
      <c r="C600" t="s">
        <v>867</v>
      </c>
      <c r="D600">
        <v>410</v>
      </c>
      <c r="F600"/>
    </row>
    <row r="601" spans="2:6" x14ac:dyDescent="0.25">
      <c r="B601" s="68">
        <v>2018</v>
      </c>
      <c r="C601" t="s">
        <v>867</v>
      </c>
      <c r="D601">
        <v>392</v>
      </c>
      <c r="F601"/>
    </row>
    <row r="602" spans="2:6" x14ac:dyDescent="0.25">
      <c r="B602" s="68">
        <v>2019</v>
      </c>
      <c r="C602" t="s">
        <v>867</v>
      </c>
      <c r="D602">
        <v>406</v>
      </c>
      <c r="F602"/>
    </row>
    <row r="603" spans="2:6" x14ac:dyDescent="0.25">
      <c r="B603" s="68">
        <v>2018</v>
      </c>
      <c r="C603" t="s">
        <v>867</v>
      </c>
      <c r="D603">
        <v>747</v>
      </c>
      <c r="F603"/>
    </row>
    <row r="604" spans="2:6" x14ac:dyDescent="0.25">
      <c r="B604" s="68">
        <v>2018</v>
      </c>
      <c r="C604" t="s">
        <v>867</v>
      </c>
      <c r="D604">
        <v>637</v>
      </c>
      <c r="F604"/>
    </row>
    <row r="605" spans="2:6" x14ac:dyDescent="0.25">
      <c r="B605" s="68">
        <v>2018</v>
      </c>
      <c r="C605" t="s">
        <v>868</v>
      </c>
      <c r="D605">
        <v>4</v>
      </c>
      <c r="F605"/>
    </row>
    <row r="606" spans="2:6" x14ac:dyDescent="0.25">
      <c r="B606" s="68">
        <v>2018</v>
      </c>
      <c r="C606" t="s">
        <v>868</v>
      </c>
      <c r="D606">
        <v>4</v>
      </c>
      <c r="F606"/>
    </row>
    <row r="607" spans="2:6" x14ac:dyDescent="0.25">
      <c r="B607" s="68">
        <v>2019</v>
      </c>
      <c r="C607" t="s">
        <v>867</v>
      </c>
      <c r="D607">
        <v>635</v>
      </c>
      <c r="F607"/>
    </row>
    <row r="608" spans="2:6" x14ac:dyDescent="0.25">
      <c r="B608" s="68">
        <v>2020</v>
      </c>
      <c r="C608" t="s">
        <v>625</v>
      </c>
      <c r="D608">
        <v>0</v>
      </c>
      <c r="F608"/>
    </row>
    <row r="609" spans="2:6" x14ac:dyDescent="0.25">
      <c r="B609" s="68">
        <v>2020</v>
      </c>
      <c r="C609" t="s">
        <v>867</v>
      </c>
      <c r="D609">
        <v>140</v>
      </c>
      <c r="F609"/>
    </row>
    <row r="610" spans="2:6" x14ac:dyDescent="0.25">
      <c r="B610" s="68">
        <v>2020</v>
      </c>
      <c r="C610" t="s">
        <v>867</v>
      </c>
      <c r="D610">
        <v>65</v>
      </c>
      <c r="F610"/>
    </row>
    <row r="611" spans="2:6" x14ac:dyDescent="0.25">
      <c r="B611" s="68">
        <v>2018</v>
      </c>
      <c r="C611" t="s">
        <v>867</v>
      </c>
      <c r="D611">
        <v>857</v>
      </c>
      <c r="F611"/>
    </row>
    <row r="612" spans="2:6" x14ac:dyDescent="0.25">
      <c r="B612" s="68">
        <v>2018</v>
      </c>
      <c r="C612" t="s">
        <v>867</v>
      </c>
      <c r="D612">
        <v>747</v>
      </c>
      <c r="F612"/>
    </row>
    <row r="613" spans="2:6" x14ac:dyDescent="0.25">
      <c r="B613" s="68">
        <v>2018</v>
      </c>
      <c r="C613" t="s">
        <v>867</v>
      </c>
      <c r="D613">
        <v>882</v>
      </c>
      <c r="F613"/>
    </row>
    <row r="614" spans="2:6" x14ac:dyDescent="0.25">
      <c r="B614" s="68">
        <v>2018</v>
      </c>
      <c r="C614" t="s">
        <v>867</v>
      </c>
      <c r="D614">
        <v>859</v>
      </c>
      <c r="F614"/>
    </row>
    <row r="615" spans="2:6" x14ac:dyDescent="0.25">
      <c r="B615" s="68">
        <v>2018</v>
      </c>
      <c r="C615" t="s">
        <v>867</v>
      </c>
      <c r="D615">
        <v>823</v>
      </c>
      <c r="F615"/>
    </row>
    <row r="616" spans="2:6" x14ac:dyDescent="0.25">
      <c r="B616" s="68">
        <v>2018</v>
      </c>
      <c r="C616" t="s">
        <v>867</v>
      </c>
      <c r="D616">
        <v>644</v>
      </c>
      <c r="F616"/>
    </row>
    <row r="617" spans="2:6" x14ac:dyDescent="0.25">
      <c r="B617" s="68">
        <v>2018</v>
      </c>
      <c r="C617" t="s">
        <v>867</v>
      </c>
      <c r="D617">
        <v>935</v>
      </c>
      <c r="F617"/>
    </row>
    <row r="618" spans="2:6" x14ac:dyDescent="0.25">
      <c r="B618" s="68">
        <v>2018</v>
      </c>
      <c r="C618" t="s">
        <v>867</v>
      </c>
      <c r="D618">
        <v>995</v>
      </c>
      <c r="F618"/>
    </row>
    <row r="619" spans="2:6" x14ac:dyDescent="0.25">
      <c r="B619" s="68">
        <v>2018</v>
      </c>
      <c r="C619" t="s">
        <v>867</v>
      </c>
      <c r="D619">
        <v>795</v>
      </c>
      <c r="F619"/>
    </row>
    <row r="620" spans="2:6" x14ac:dyDescent="0.25">
      <c r="B620" s="68">
        <v>2018</v>
      </c>
      <c r="C620" t="s">
        <v>867</v>
      </c>
      <c r="D620">
        <v>728</v>
      </c>
      <c r="F620"/>
    </row>
    <row r="621" spans="2:6" x14ac:dyDescent="0.25">
      <c r="B621" s="68">
        <v>2018</v>
      </c>
      <c r="C621" t="s">
        <v>867</v>
      </c>
      <c r="D621">
        <v>926</v>
      </c>
      <c r="F621"/>
    </row>
    <row r="622" spans="2:6" x14ac:dyDescent="0.25">
      <c r="B622" s="68">
        <v>2019</v>
      </c>
      <c r="C622" t="s">
        <v>867</v>
      </c>
      <c r="D622">
        <v>841</v>
      </c>
      <c r="F622"/>
    </row>
    <row r="623" spans="2:6" x14ac:dyDescent="0.25">
      <c r="B623" s="68">
        <v>2019</v>
      </c>
      <c r="C623" t="s">
        <v>867</v>
      </c>
      <c r="D623">
        <v>752</v>
      </c>
      <c r="F623"/>
    </row>
    <row r="624" spans="2:6" x14ac:dyDescent="0.25">
      <c r="B624" s="68">
        <v>2019</v>
      </c>
      <c r="C624" t="s">
        <v>867</v>
      </c>
      <c r="D624">
        <v>279</v>
      </c>
      <c r="F624"/>
    </row>
    <row r="625" spans="2:6" x14ac:dyDescent="0.25">
      <c r="B625" s="68">
        <v>2019</v>
      </c>
      <c r="C625" t="s">
        <v>867</v>
      </c>
      <c r="D625">
        <v>239</v>
      </c>
      <c r="F625"/>
    </row>
    <row r="626" spans="2:6" x14ac:dyDescent="0.25">
      <c r="B626" s="68">
        <v>2020</v>
      </c>
      <c r="C626" t="s">
        <v>867</v>
      </c>
      <c r="D626">
        <v>157</v>
      </c>
      <c r="F626"/>
    </row>
    <row r="627" spans="2:6" x14ac:dyDescent="0.25">
      <c r="B627" s="68">
        <v>2020</v>
      </c>
      <c r="C627" t="s">
        <v>867</v>
      </c>
      <c r="D627">
        <v>156</v>
      </c>
      <c r="F627"/>
    </row>
    <row r="628" spans="2:6" x14ac:dyDescent="0.25">
      <c r="B628" s="68">
        <v>2020</v>
      </c>
      <c r="C628" t="s">
        <v>867</v>
      </c>
      <c r="D628">
        <v>82</v>
      </c>
      <c r="F628"/>
    </row>
    <row r="629" spans="2:6" x14ac:dyDescent="0.25">
      <c r="B629" s="68">
        <v>2020</v>
      </c>
      <c r="C629" t="s">
        <v>867</v>
      </c>
      <c r="D629">
        <v>166</v>
      </c>
      <c r="F629"/>
    </row>
    <row r="630" spans="2:6" x14ac:dyDescent="0.25">
      <c r="B630" s="68">
        <v>2020</v>
      </c>
      <c r="C630" t="s">
        <v>867</v>
      </c>
      <c r="D630">
        <v>156</v>
      </c>
      <c r="F630"/>
    </row>
    <row r="631" spans="2:6" x14ac:dyDescent="0.25">
      <c r="B631" s="68">
        <v>2020</v>
      </c>
      <c r="C631" t="s">
        <v>867</v>
      </c>
      <c r="D631">
        <v>130</v>
      </c>
      <c r="F631"/>
    </row>
    <row r="632" spans="2:6" x14ac:dyDescent="0.25">
      <c r="B632" s="68">
        <v>2020</v>
      </c>
      <c r="C632" t="s">
        <v>867</v>
      </c>
      <c r="D632">
        <v>503</v>
      </c>
      <c r="F632"/>
    </row>
    <row r="633" spans="2:6" x14ac:dyDescent="0.25">
      <c r="B633" s="68">
        <v>2020</v>
      </c>
      <c r="C633" t="s">
        <v>867</v>
      </c>
      <c r="D633">
        <v>1121</v>
      </c>
      <c r="F633"/>
    </row>
    <row r="634" spans="2:6" x14ac:dyDescent="0.25">
      <c r="B634" s="68">
        <v>2020</v>
      </c>
      <c r="C634" t="s">
        <v>867</v>
      </c>
      <c r="D634">
        <v>1451</v>
      </c>
      <c r="F634"/>
    </row>
    <row r="635" spans="2:6" x14ac:dyDescent="0.25">
      <c r="B635" s="68">
        <v>2019</v>
      </c>
      <c r="C635" t="s">
        <v>867</v>
      </c>
      <c r="D635">
        <v>273</v>
      </c>
      <c r="F635"/>
    </row>
    <row r="636" spans="2:6" x14ac:dyDescent="0.25">
      <c r="B636" s="68">
        <v>2020</v>
      </c>
      <c r="C636" t="s">
        <v>867</v>
      </c>
      <c r="D636">
        <v>750</v>
      </c>
      <c r="F636"/>
    </row>
    <row r="637" spans="2:6" x14ac:dyDescent="0.25">
      <c r="B637" s="68">
        <v>2019</v>
      </c>
      <c r="C637" t="s">
        <v>867</v>
      </c>
      <c r="D637">
        <v>750</v>
      </c>
      <c r="F637"/>
    </row>
    <row r="638" spans="2:6" x14ac:dyDescent="0.25">
      <c r="B638" s="68">
        <v>2019</v>
      </c>
      <c r="C638" t="s">
        <v>867</v>
      </c>
      <c r="D638">
        <v>872</v>
      </c>
      <c r="F638"/>
    </row>
    <row r="639" spans="2:6" x14ac:dyDescent="0.25">
      <c r="B639" s="68">
        <v>2020</v>
      </c>
      <c r="C639" t="s">
        <v>867</v>
      </c>
      <c r="D639">
        <v>781</v>
      </c>
      <c r="F639"/>
    </row>
    <row r="640" spans="2:6" x14ac:dyDescent="0.25">
      <c r="B640" s="68">
        <v>2020</v>
      </c>
      <c r="C640" t="s">
        <v>867</v>
      </c>
      <c r="D640">
        <v>254</v>
      </c>
      <c r="F640"/>
    </row>
    <row r="641" spans="2:6" x14ac:dyDescent="0.25">
      <c r="B641" s="68">
        <v>2020</v>
      </c>
      <c r="C641" t="s">
        <v>867</v>
      </c>
      <c r="D641">
        <v>264</v>
      </c>
      <c r="F641"/>
    </row>
    <row r="642" spans="2:6" x14ac:dyDescent="0.25">
      <c r="B642" s="68">
        <v>2019</v>
      </c>
      <c r="C642" t="s">
        <v>867</v>
      </c>
      <c r="D642">
        <v>728</v>
      </c>
      <c r="F642"/>
    </row>
    <row r="643" spans="2:6" hidden="1" x14ac:dyDescent="0.25">
      <c r="B643" s="68">
        <v>2018</v>
      </c>
      <c r="F643"/>
    </row>
    <row r="644" spans="2:6" hidden="1" x14ac:dyDescent="0.25">
      <c r="B644" s="68">
        <v>2018</v>
      </c>
      <c r="F644"/>
    </row>
    <row r="645" spans="2:6" hidden="1" x14ac:dyDescent="0.25">
      <c r="B645" s="68">
        <v>2018</v>
      </c>
      <c r="F645"/>
    </row>
    <row r="646" spans="2:6" hidden="1" x14ac:dyDescent="0.25">
      <c r="B646" s="68">
        <v>2018</v>
      </c>
      <c r="F646"/>
    </row>
    <row r="647" spans="2:6" hidden="1" x14ac:dyDescent="0.25">
      <c r="B647" s="68">
        <v>2018</v>
      </c>
      <c r="F647"/>
    </row>
    <row r="648" spans="2:6" hidden="1" x14ac:dyDescent="0.25">
      <c r="B648" s="68">
        <v>2019</v>
      </c>
      <c r="F648"/>
    </row>
    <row r="649" spans="2:6" hidden="1" x14ac:dyDescent="0.25">
      <c r="B649" s="68">
        <v>2018</v>
      </c>
      <c r="F649"/>
    </row>
    <row r="650" spans="2:6" x14ac:dyDescent="0.25">
      <c r="B650" s="68">
        <v>2018</v>
      </c>
      <c r="C650" t="s">
        <v>672</v>
      </c>
      <c r="D650">
        <v>1</v>
      </c>
      <c r="F650"/>
    </row>
    <row r="651" spans="2:6" x14ac:dyDescent="0.25">
      <c r="B651" s="68">
        <v>2019</v>
      </c>
      <c r="C651" t="s">
        <v>571</v>
      </c>
      <c r="D651">
        <v>778</v>
      </c>
      <c r="F651"/>
    </row>
    <row r="652" spans="2:6" hidden="1" x14ac:dyDescent="0.25">
      <c r="B652" s="68">
        <v>2021</v>
      </c>
      <c r="F652"/>
    </row>
    <row r="653" spans="2:6" x14ac:dyDescent="0.25">
      <c r="B653" s="68">
        <v>2020</v>
      </c>
      <c r="C653" t="s">
        <v>571</v>
      </c>
      <c r="D653">
        <v>164</v>
      </c>
      <c r="F653"/>
    </row>
    <row r="654" spans="2:6" x14ac:dyDescent="0.25">
      <c r="B654" s="68">
        <v>2019</v>
      </c>
      <c r="C654" t="s">
        <v>569</v>
      </c>
      <c r="D654">
        <v>2285</v>
      </c>
      <c r="F654"/>
    </row>
    <row r="655" spans="2:6" hidden="1" x14ac:dyDescent="0.25">
      <c r="B655" s="68">
        <v>2020</v>
      </c>
      <c r="F655"/>
    </row>
    <row r="656" spans="2:6" hidden="1" x14ac:dyDescent="0.25">
      <c r="B656" s="68">
        <v>2020</v>
      </c>
      <c r="F656"/>
    </row>
    <row r="657" spans="2:6" x14ac:dyDescent="0.25">
      <c r="B657" s="68">
        <v>2019</v>
      </c>
      <c r="C657" t="s">
        <v>567</v>
      </c>
      <c r="D657">
        <v>1231</v>
      </c>
      <c r="F657"/>
    </row>
    <row r="658" spans="2:6" x14ac:dyDescent="0.25">
      <c r="B658" s="68">
        <v>2021</v>
      </c>
      <c r="C658" t="s">
        <v>571</v>
      </c>
      <c r="D658">
        <v>416</v>
      </c>
      <c r="F658"/>
    </row>
    <row r="659" spans="2:6" x14ac:dyDescent="0.25">
      <c r="B659" s="68">
        <v>2019</v>
      </c>
      <c r="C659" t="s">
        <v>571</v>
      </c>
      <c r="D659">
        <v>114</v>
      </c>
      <c r="F659"/>
    </row>
    <row r="660" spans="2:6" x14ac:dyDescent="0.25">
      <c r="B660" s="68">
        <v>2017</v>
      </c>
      <c r="C660" t="s">
        <v>571</v>
      </c>
      <c r="D660">
        <v>478</v>
      </c>
      <c r="F660"/>
    </row>
    <row r="661" spans="2:6" x14ac:dyDescent="0.25">
      <c r="B661" s="68">
        <v>2020</v>
      </c>
      <c r="C661" t="s">
        <v>571</v>
      </c>
      <c r="D661">
        <v>744</v>
      </c>
      <c r="F661"/>
    </row>
    <row r="662" spans="2:6" x14ac:dyDescent="0.25">
      <c r="B662" s="68">
        <v>2019</v>
      </c>
      <c r="C662" t="s">
        <v>571</v>
      </c>
      <c r="D662">
        <v>536</v>
      </c>
      <c r="F662"/>
    </row>
    <row r="663" spans="2:6" x14ac:dyDescent="0.25">
      <c r="B663" s="68">
        <v>2020</v>
      </c>
      <c r="C663" t="s">
        <v>571</v>
      </c>
      <c r="D663">
        <v>435</v>
      </c>
      <c r="F663"/>
    </row>
    <row r="664" spans="2:6" hidden="1" x14ac:dyDescent="0.25">
      <c r="B664" s="68">
        <v>2021</v>
      </c>
      <c r="F664"/>
    </row>
    <row r="665" spans="2:6" hidden="1" x14ac:dyDescent="0.25">
      <c r="B665" s="68">
        <v>2021</v>
      </c>
      <c r="F665"/>
    </row>
    <row r="666" spans="2:6" hidden="1" x14ac:dyDescent="0.25">
      <c r="B666" s="68">
        <v>2021</v>
      </c>
      <c r="F666"/>
    </row>
    <row r="667" spans="2:6" hidden="1" x14ac:dyDescent="0.25">
      <c r="B667" s="68">
        <v>2020</v>
      </c>
      <c r="F667"/>
    </row>
    <row r="668" spans="2:6" hidden="1" x14ac:dyDescent="0.25">
      <c r="B668" s="68">
        <v>2020</v>
      </c>
      <c r="F668"/>
    </row>
    <row r="669" spans="2:6" hidden="1" x14ac:dyDescent="0.25">
      <c r="B669" s="68">
        <v>2020</v>
      </c>
      <c r="F669"/>
    </row>
    <row r="670" spans="2:6" hidden="1" x14ac:dyDescent="0.25">
      <c r="B670" s="68">
        <v>2020</v>
      </c>
      <c r="F670"/>
    </row>
    <row r="671" spans="2:6" hidden="1" x14ac:dyDescent="0.25">
      <c r="B671" s="68">
        <v>2020</v>
      </c>
      <c r="F671"/>
    </row>
    <row r="672" spans="2:6" hidden="1" x14ac:dyDescent="0.25">
      <c r="B672" s="68">
        <v>2018</v>
      </c>
      <c r="F672"/>
    </row>
    <row r="673" spans="2:6" x14ac:dyDescent="0.25">
      <c r="B673" s="68">
        <v>2018</v>
      </c>
      <c r="C673" t="s">
        <v>636</v>
      </c>
      <c r="D673">
        <v>4.5599999999999996</v>
      </c>
      <c r="F673"/>
    </row>
    <row r="674" spans="2:6" x14ac:dyDescent="0.25">
      <c r="B674" s="68">
        <v>2018</v>
      </c>
      <c r="C674" t="s">
        <v>678</v>
      </c>
      <c r="D674">
        <v>1</v>
      </c>
      <c r="F674"/>
    </row>
    <row r="675" spans="2:6" x14ac:dyDescent="0.25">
      <c r="B675" s="68">
        <v>2018</v>
      </c>
      <c r="C675" t="s">
        <v>678</v>
      </c>
      <c r="D675">
        <v>2</v>
      </c>
      <c r="F675"/>
    </row>
    <row r="676" spans="2:6" x14ac:dyDescent="0.25">
      <c r="B676" s="68">
        <v>2018</v>
      </c>
      <c r="C676" t="s">
        <v>678</v>
      </c>
      <c r="D676">
        <v>1</v>
      </c>
      <c r="F676"/>
    </row>
    <row r="677" spans="2:6" x14ac:dyDescent="0.25">
      <c r="B677" s="68">
        <v>2018</v>
      </c>
      <c r="C677" t="s">
        <v>579</v>
      </c>
      <c r="D677">
        <v>41</v>
      </c>
      <c r="F677"/>
    </row>
    <row r="678" spans="2:6" x14ac:dyDescent="0.25">
      <c r="B678" s="68">
        <v>2020</v>
      </c>
      <c r="C678" t="s">
        <v>680</v>
      </c>
      <c r="D678">
        <v>3</v>
      </c>
      <c r="F678"/>
    </row>
    <row r="679" spans="2:6" x14ac:dyDescent="0.25">
      <c r="B679" s="68">
        <v>2020</v>
      </c>
      <c r="C679" t="s">
        <v>678</v>
      </c>
      <c r="D679">
        <v>1</v>
      </c>
      <c r="F679"/>
    </row>
    <row r="680" spans="2:6" x14ac:dyDescent="0.25">
      <c r="B680" s="68">
        <v>2019</v>
      </c>
      <c r="C680" t="s">
        <v>615</v>
      </c>
      <c r="D680">
        <v>1</v>
      </c>
      <c r="F680"/>
    </row>
    <row r="681" spans="2:6" x14ac:dyDescent="0.25">
      <c r="B681" s="68">
        <v>2018</v>
      </c>
      <c r="C681" t="s">
        <v>615</v>
      </c>
      <c r="D681">
        <v>1</v>
      </c>
      <c r="F681"/>
    </row>
    <row r="682" spans="2:6" x14ac:dyDescent="0.25">
      <c r="B682" s="68">
        <v>2023</v>
      </c>
      <c r="C682" t="s">
        <v>615</v>
      </c>
      <c r="D682">
        <v>1</v>
      </c>
      <c r="F682"/>
    </row>
    <row r="683" spans="2:6" x14ac:dyDescent="0.25">
      <c r="B683" s="68">
        <v>2018</v>
      </c>
      <c r="C683" t="s">
        <v>615</v>
      </c>
      <c r="D683">
        <v>1</v>
      </c>
      <c r="F683"/>
    </row>
    <row r="684" spans="2:6" x14ac:dyDescent="0.25">
      <c r="B684" s="68">
        <v>2020</v>
      </c>
      <c r="C684" t="s">
        <v>636</v>
      </c>
      <c r="D684">
        <v>2.5</v>
      </c>
      <c r="F684"/>
    </row>
    <row r="685" spans="2:6" x14ac:dyDescent="0.25">
      <c r="B685" s="68">
        <v>2020</v>
      </c>
      <c r="C685" t="s">
        <v>636</v>
      </c>
      <c r="D685">
        <v>3.5</v>
      </c>
      <c r="F685"/>
    </row>
    <row r="686" spans="2:6" x14ac:dyDescent="0.25">
      <c r="B686" s="68">
        <v>2018</v>
      </c>
      <c r="C686" t="s">
        <v>703</v>
      </c>
      <c r="D686">
        <v>7.9899999999999999E-2</v>
      </c>
      <c r="F686"/>
    </row>
    <row r="687" spans="2:6" hidden="1" x14ac:dyDescent="0.25">
      <c r="B687" s="68">
        <v>2019</v>
      </c>
      <c r="F687"/>
    </row>
    <row r="688" spans="2:6" x14ac:dyDescent="0.25">
      <c r="B688" s="68">
        <v>2020</v>
      </c>
      <c r="C688" t="s">
        <v>617</v>
      </c>
      <c r="D688">
        <v>1</v>
      </c>
      <c r="F688"/>
    </row>
    <row r="689" spans="2:6" hidden="1" x14ac:dyDescent="0.25">
      <c r="B689" s="68">
        <v>2020</v>
      </c>
      <c r="F689"/>
    </row>
    <row r="690" spans="2:6" hidden="1" x14ac:dyDescent="0.25">
      <c r="B690" s="68">
        <v>2019</v>
      </c>
      <c r="F690"/>
    </row>
    <row r="691" spans="2:6" x14ac:dyDescent="0.25">
      <c r="B691" s="68">
        <v>2020</v>
      </c>
      <c r="C691" t="s">
        <v>703</v>
      </c>
      <c r="D691">
        <v>1.72364E-3</v>
      </c>
      <c r="F691"/>
    </row>
    <row r="692" spans="2:6" x14ac:dyDescent="0.25">
      <c r="B692" s="68">
        <v>2019</v>
      </c>
      <c r="C692" t="s">
        <v>617</v>
      </c>
      <c r="D692">
        <v>4</v>
      </c>
      <c r="F692"/>
    </row>
    <row r="693" spans="2:6" x14ac:dyDescent="0.25">
      <c r="B693" s="68">
        <v>2020</v>
      </c>
      <c r="C693" t="s">
        <v>617</v>
      </c>
      <c r="D693">
        <v>1</v>
      </c>
      <c r="F693"/>
    </row>
    <row r="694" spans="2:6" hidden="1" x14ac:dyDescent="0.25">
      <c r="B694" s="68">
        <v>2020</v>
      </c>
      <c r="F694"/>
    </row>
    <row r="695" spans="2:6" hidden="1" x14ac:dyDescent="0.25">
      <c r="B695" s="68">
        <v>2021</v>
      </c>
      <c r="F695"/>
    </row>
    <row r="696" spans="2:6" hidden="1" x14ac:dyDescent="0.25">
      <c r="B696" s="68">
        <v>2020</v>
      </c>
      <c r="F696"/>
    </row>
    <row r="697" spans="2:6" hidden="1" x14ac:dyDescent="0.25">
      <c r="B697" s="68">
        <v>2020</v>
      </c>
      <c r="F697"/>
    </row>
    <row r="698" spans="2:6" x14ac:dyDescent="0.25">
      <c r="B698" s="68">
        <v>2018</v>
      </c>
      <c r="C698" t="s">
        <v>703</v>
      </c>
      <c r="D698">
        <v>2.4699499999999998E-3</v>
      </c>
      <c r="F698"/>
    </row>
    <row r="699" spans="2:6" hidden="1" x14ac:dyDescent="0.25">
      <c r="B699" s="68">
        <v>2019</v>
      </c>
      <c r="F699"/>
    </row>
    <row r="700" spans="2:6" hidden="1" x14ac:dyDescent="0.25">
      <c r="B700" s="68">
        <v>2020</v>
      </c>
      <c r="F700"/>
    </row>
    <row r="701" spans="2:6" hidden="1" x14ac:dyDescent="0.25">
      <c r="B701" s="68">
        <v>2020</v>
      </c>
      <c r="F701"/>
    </row>
    <row r="702" spans="2:6" hidden="1" x14ac:dyDescent="0.25">
      <c r="B702" s="68">
        <v>2021</v>
      </c>
      <c r="F702"/>
    </row>
    <row r="703" spans="2:6" hidden="1" x14ac:dyDescent="0.25">
      <c r="B703" s="68">
        <v>2019</v>
      </c>
      <c r="F703"/>
    </row>
    <row r="704" spans="2:6" hidden="1" x14ac:dyDescent="0.25">
      <c r="B704" s="68">
        <v>2020</v>
      </c>
      <c r="F704"/>
    </row>
    <row r="705" spans="2:6" hidden="1" x14ac:dyDescent="0.25">
      <c r="B705" s="68">
        <v>2020</v>
      </c>
      <c r="F705"/>
    </row>
    <row r="706" spans="2:6" hidden="1" x14ac:dyDescent="0.25">
      <c r="B706" s="68">
        <v>2023</v>
      </c>
      <c r="F706"/>
    </row>
    <row r="707" spans="2:6" hidden="1" x14ac:dyDescent="0.25">
      <c r="B707" s="68">
        <v>2022</v>
      </c>
      <c r="F707"/>
    </row>
    <row r="708" spans="2:6" hidden="1" x14ac:dyDescent="0.25">
      <c r="B708" s="68">
        <v>2023</v>
      </c>
      <c r="F708"/>
    </row>
    <row r="709" spans="2:6" hidden="1" x14ac:dyDescent="0.25">
      <c r="B709" s="68">
        <v>2020</v>
      </c>
      <c r="F709"/>
    </row>
    <row r="710" spans="2:6" hidden="1" x14ac:dyDescent="0.25">
      <c r="B710" s="68">
        <v>2017</v>
      </c>
      <c r="F710"/>
    </row>
    <row r="711" spans="2:6" hidden="1" x14ac:dyDescent="0.25">
      <c r="B711" s="68">
        <v>2022</v>
      </c>
      <c r="F711"/>
    </row>
    <row r="712" spans="2:6" hidden="1" x14ac:dyDescent="0.25">
      <c r="B712" s="68">
        <v>2018</v>
      </c>
      <c r="F712"/>
    </row>
    <row r="713" spans="2:6" hidden="1" x14ac:dyDescent="0.25">
      <c r="B713" s="68">
        <v>2018</v>
      </c>
      <c r="F713"/>
    </row>
    <row r="714" spans="2:6" hidden="1" x14ac:dyDescent="0.25">
      <c r="B714" s="68">
        <v>2018</v>
      </c>
      <c r="F714"/>
    </row>
    <row r="715" spans="2:6" hidden="1" x14ac:dyDescent="0.25">
      <c r="B715" s="68">
        <v>2021</v>
      </c>
      <c r="F715"/>
    </row>
    <row r="716" spans="2:6" hidden="1" x14ac:dyDescent="0.25">
      <c r="B716" s="68">
        <v>2017</v>
      </c>
      <c r="F716"/>
    </row>
    <row r="717" spans="2:6" hidden="1" x14ac:dyDescent="0.25">
      <c r="B717" s="68">
        <v>2018</v>
      </c>
      <c r="F717"/>
    </row>
    <row r="718" spans="2:6" hidden="1" x14ac:dyDescent="0.25">
      <c r="B718" s="68">
        <v>2022</v>
      </c>
      <c r="F718"/>
    </row>
    <row r="719" spans="2:6" hidden="1" x14ac:dyDescent="0.25">
      <c r="B719" s="68">
        <v>2020</v>
      </c>
      <c r="F719"/>
    </row>
    <row r="720" spans="2:6" hidden="1" x14ac:dyDescent="0.25">
      <c r="B720" s="68">
        <v>2020</v>
      </c>
      <c r="F720"/>
    </row>
    <row r="721" spans="2:6" hidden="1" x14ac:dyDescent="0.25">
      <c r="B721" s="68">
        <v>2019</v>
      </c>
      <c r="F721"/>
    </row>
    <row r="722" spans="2:6" hidden="1" x14ac:dyDescent="0.25">
      <c r="B722" s="68">
        <v>2018</v>
      </c>
      <c r="F722"/>
    </row>
    <row r="723" spans="2:6" hidden="1" x14ac:dyDescent="0.25">
      <c r="B723" s="68">
        <v>2020</v>
      </c>
      <c r="F723"/>
    </row>
    <row r="724" spans="2:6" hidden="1" x14ac:dyDescent="0.25">
      <c r="B724" s="68">
        <v>2020</v>
      </c>
      <c r="F724"/>
    </row>
    <row r="725" spans="2:6" hidden="1" x14ac:dyDescent="0.25">
      <c r="B725" s="68">
        <v>2018</v>
      </c>
      <c r="F725"/>
    </row>
    <row r="726" spans="2:6" hidden="1" x14ac:dyDescent="0.25">
      <c r="B726" s="68">
        <v>2018</v>
      </c>
      <c r="F726"/>
    </row>
    <row r="727" spans="2:6" hidden="1" x14ac:dyDescent="0.25">
      <c r="B727" s="68">
        <v>2020</v>
      </c>
      <c r="F727"/>
    </row>
    <row r="728" spans="2:6" hidden="1" x14ac:dyDescent="0.25">
      <c r="B728" s="68">
        <v>2020</v>
      </c>
      <c r="F728"/>
    </row>
    <row r="729" spans="2:6" hidden="1" x14ac:dyDescent="0.25">
      <c r="B729" s="68">
        <v>2020</v>
      </c>
      <c r="F729"/>
    </row>
    <row r="730" spans="2:6" hidden="1" x14ac:dyDescent="0.25">
      <c r="B730" s="68">
        <v>2021</v>
      </c>
      <c r="F730"/>
    </row>
    <row r="731" spans="2:6" hidden="1" x14ac:dyDescent="0.25">
      <c r="B731" s="68">
        <v>2020</v>
      </c>
      <c r="F731"/>
    </row>
    <row r="732" spans="2:6" hidden="1" x14ac:dyDescent="0.25">
      <c r="B732" s="68">
        <v>2019</v>
      </c>
      <c r="F732"/>
    </row>
    <row r="733" spans="2:6" x14ac:dyDescent="0.25">
      <c r="B733" s="68">
        <v>2019</v>
      </c>
      <c r="C733" t="s">
        <v>555</v>
      </c>
      <c r="D733">
        <v>56697</v>
      </c>
      <c r="F733"/>
    </row>
    <row r="734" spans="2:6" hidden="1" x14ac:dyDescent="0.25">
      <c r="B734" s="68">
        <v>2019</v>
      </c>
      <c r="F734"/>
    </row>
    <row r="735" spans="2:6" hidden="1" x14ac:dyDescent="0.25">
      <c r="B735" s="68">
        <v>2019</v>
      </c>
      <c r="F735"/>
    </row>
    <row r="736" spans="2:6" hidden="1" x14ac:dyDescent="0.25">
      <c r="B736" s="68">
        <v>2019</v>
      </c>
      <c r="F736"/>
    </row>
    <row r="737" spans="2:6" hidden="1" x14ac:dyDescent="0.25">
      <c r="B737" s="68">
        <v>2018</v>
      </c>
      <c r="F737"/>
    </row>
    <row r="738" spans="2:6" hidden="1" x14ac:dyDescent="0.25">
      <c r="B738" s="68">
        <v>2019</v>
      </c>
      <c r="F738"/>
    </row>
    <row r="739" spans="2:6" hidden="1" x14ac:dyDescent="0.25">
      <c r="B739" s="68">
        <v>2019</v>
      </c>
      <c r="F739"/>
    </row>
    <row r="740" spans="2:6" hidden="1" x14ac:dyDescent="0.25">
      <c r="B740" s="68">
        <v>2018</v>
      </c>
      <c r="F740"/>
    </row>
    <row r="741" spans="2:6" hidden="1" x14ac:dyDescent="0.25">
      <c r="B741" s="68">
        <v>2020</v>
      </c>
      <c r="F741"/>
    </row>
    <row r="742" spans="2:6" hidden="1" x14ac:dyDescent="0.25">
      <c r="B742" s="68">
        <v>2019</v>
      </c>
      <c r="F742"/>
    </row>
    <row r="743" spans="2:6" hidden="1" x14ac:dyDescent="0.25">
      <c r="B743" s="68">
        <v>2019</v>
      </c>
      <c r="F743"/>
    </row>
    <row r="744" spans="2:6" hidden="1" x14ac:dyDescent="0.25">
      <c r="B744" s="68">
        <v>2019</v>
      </c>
      <c r="F744"/>
    </row>
    <row r="745" spans="2:6" hidden="1" x14ac:dyDescent="0.25">
      <c r="B745" s="68">
        <v>2019</v>
      </c>
      <c r="F745"/>
    </row>
    <row r="746" spans="2:6" hidden="1" x14ac:dyDescent="0.25">
      <c r="B746" s="68">
        <v>2019</v>
      </c>
      <c r="F746"/>
    </row>
    <row r="747" spans="2:6" hidden="1" x14ac:dyDescent="0.25">
      <c r="B747" s="68">
        <v>2021</v>
      </c>
      <c r="F747"/>
    </row>
    <row r="748" spans="2:6" hidden="1" x14ac:dyDescent="0.25">
      <c r="B748" s="68">
        <v>2020</v>
      </c>
      <c r="F748"/>
    </row>
    <row r="749" spans="2:6" hidden="1" x14ac:dyDescent="0.25">
      <c r="B749" s="68">
        <v>2020</v>
      </c>
      <c r="F749"/>
    </row>
    <row r="750" spans="2:6" hidden="1" x14ac:dyDescent="0.25">
      <c r="B750" s="68">
        <v>2019</v>
      </c>
      <c r="F750"/>
    </row>
    <row r="751" spans="2:6" hidden="1" x14ac:dyDescent="0.25">
      <c r="B751" s="68">
        <v>2021</v>
      </c>
      <c r="F751"/>
    </row>
    <row r="752" spans="2:6" x14ac:dyDescent="0.25">
      <c r="B752" s="68">
        <v>2019</v>
      </c>
      <c r="C752" t="s">
        <v>654</v>
      </c>
      <c r="D752">
        <v>550</v>
      </c>
      <c r="F752"/>
    </row>
    <row r="753" spans="2:6" x14ac:dyDescent="0.25">
      <c r="B753" s="68">
        <v>2020</v>
      </c>
      <c r="C753" t="s">
        <v>654</v>
      </c>
      <c r="D753">
        <v>650</v>
      </c>
      <c r="F753"/>
    </row>
    <row r="754" spans="2:6" x14ac:dyDescent="0.25">
      <c r="B754" s="68">
        <v>2020</v>
      </c>
      <c r="C754" t="s">
        <v>654</v>
      </c>
      <c r="D754">
        <v>1700</v>
      </c>
      <c r="F754"/>
    </row>
    <row r="755" spans="2:6" hidden="1" x14ac:dyDescent="0.25">
      <c r="B755" s="68">
        <v>2020</v>
      </c>
      <c r="F755"/>
    </row>
    <row r="756" spans="2:6" hidden="1" x14ac:dyDescent="0.25">
      <c r="B756" s="68">
        <v>2019</v>
      </c>
      <c r="F756"/>
    </row>
    <row r="757" spans="2:6" hidden="1" x14ac:dyDescent="0.25">
      <c r="B757" s="68">
        <v>2020</v>
      </c>
      <c r="F757"/>
    </row>
    <row r="758" spans="2:6" x14ac:dyDescent="0.25">
      <c r="B758" s="68">
        <v>2019</v>
      </c>
      <c r="C758" t="s">
        <v>654</v>
      </c>
      <c r="D758">
        <v>206</v>
      </c>
      <c r="F758"/>
    </row>
    <row r="759" spans="2:6" x14ac:dyDescent="0.25">
      <c r="B759" s="68">
        <v>2019</v>
      </c>
      <c r="C759" t="s">
        <v>654</v>
      </c>
      <c r="D759">
        <v>144</v>
      </c>
      <c r="F759"/>
    </row>
    <row r="760" spans="2:6" x14ac:dyDescent="0.25">
      <c r="B760" s="68">
        <v>2019</v>
      </c>
      <c r="C760" t="s">
        <v>682</v>
      </c>
      <c r="D760">
        <v>25</v>
      </c>
      <c r="F760"/>
    </row>
    <row r="761" spans="2:6" x14ac:dyDescent="0.25">
      <c r="B761" s="68">
        <v>2019</v>
      </c>
      <c r="C761" t="s">
        <v>682</v>
      </c>
      <c r="D761">
        <v>24</v>
      </c>
      <c r="F761"/>
    </row>
    <row r="762" spans="2:6" x14ac:dyDescent="0.25">
      <c r="B762" s="68">
        <v>2019</v>
      </c>
      <c r="C762" t="s">
        <v>682</v>
      </c>
      <c r="D762">
        <v>80</v>
      </c>
      <c r="F762"/>
    </row>
    <row r="763" spans="2:6" x14ac:dyDescent="0.25">
      <c r="B763" s="68">
        <v>2020</v>
      </c>
      <c r="C763" t="s">
        <v>682</v>
      </c>
      <c r="D763">
        <v>20</v>
      </c>
      <c r="F763"/>
    </row>
    <row r="764" spans="2:6" hidden="1" x14ac:dyDescent="0.25">
      <c r="B764" s="68">
        <v>2020</v>
      </c>
      <c r="F764"/>
    </row>
    <row r="765" spans="2:6" x14ac:dyDescent="0.25">
      <c r="B765" s="68">
        <v>2020</v>
      </c>
      <c r="C765" t="s">
        <v>682</v>
      </c>
      <c r="D765">
        <v>0</v>
      </c>
      <c r="F765"/>
    </row>
    <row r="766" spans="2:6" x14ac:dyDescent="0.25">
      <c r="B766" s="68">
        <v>2019</v>
      </c>
      <c r="C766" t="s">
        <v>868</v>
      </c>
      <c r="D766">
        <v>1</v>
      </c>
      <c r="F766"/>
    </row>
    <row r="767" spans="2:6" x14ac:dyDescent="0.25">
      <c r="B767" s="68">
        <v>2020</v>
      </c>
      <c r="C767" t="s">
        <v>682</v>
      </c>
      <c r="D767">
        <v>56</v>
      </c>
      <c r="F767"/>
    </row>
    <row r="768" spans="2:6" hidden="1" x14ac:dyDescent="0.25">
      <c r="B768" s="68">
        <v>2020</v>
      </c>
      <c r="F768"/>
    </row>
    <row r="769" spans="2:6" x14ac:dyDescent="0.25">
      <c r="B769" s="68">
        <v>2020</v>
      </c>
      <c r="C769" t="s">
        <v>682</v>
      </c>
      <c r="D769">
        <v>20</v>
      </c>
      <c r="F769"/>
    </row>
    <row r="770" spans="2:6" hidden="1" x14ac:dyDescent="0.25">
      <c r="B770" s="68">
        <v>2017</v>
      </c>
      <c r="F770"/>
    </row>
    <row r="771" spans="2:6" hidden="1" x14ac:dyDescent="0.25">
      <c r="B771" s="68">
        <v>2020</v>
      </c>
      <c r="F771"/>
    </row>
    <row r="772" spans="2:6" hidden="1" x14ac:dyDescent="0.25">
      <c r="B772" s="68">
        <v>2020</v>
      </c>
      <c r="F772"/>
    </row>
    <row r="773" spans="2:6" hidden="1" x14ac:dyDescent="0.25">
      <c r="B773" s="68">
        <v>2020</v>
      </c>
      <c r="F773"/>
    </row>
    <row r="774" spans="2:6" hidden="1" x14ac:dyDescent="0.25">
      <c r="B774" s="68">
        <v>2018</v>
      </c>
      <c r="F774"/>
    </row>
    <row r="775" spans="2:6" hidden="1" x14ac:dyDescent="0.25">
      <c r="B775" s="68">
        <v>2018</v>
      </c>
      <c r="F775"/>
    </row>
    <row r="776" spans="2:6" hidden="1" x14ac:dyDescent="0.25">
      <c r="B776" s="68">
        <v>2017</v>
      </c>
      <c r="F776"/>
    </row>
    <row r="777" spans="2:6" hidden="1" x14ac:dyDescent="0.25">
      <c r="B777" s="68">
        <v>2020</v>
      </c>
      <c r="F777"/>
    </row>
    <row r="778" spans="2:6" hidden="1" x14ac:dyDescent="0.25">
      <c r="B778" s="68">
        <v>2021</v>
      </c>
      <c r="F778"/>
    </row>
    <row r="779" spans="2:6" hidden="1" x14ac:dyDescent="0.25">
      <c r="B779" s="68">
        <v>2019</v>
      </c>
      <c r="F779"/>
    </row>
    <row r="780" spans="2:6" x14ac:dyDescent="0.25">
      <c r="B780" s="68">
        <v>2020</v>
      </c>
      <c r="C780" t="s">
        <v>682</v>
      </c>
      <c r="D780">
        <v>108</v>
      </c>
      <c r="F780"/>
    </row>
    <row r="781" spans="2:6" x14ac:dyDescent="0.25">
      <c r="B781" s="68">
        <v>2020</v>
      </c>
      <c r="C781" t="s">
        <v>682</v>
      </c>
      <c r="D781">
        <v>34</v>
      </c>
      <c r="F781"/>
    </row>
    <row r="782" spans="2:6" hidden="1" x14ac:dyDescent="0.25">
      <c r="B782" s="68">
        <v>2018</v>
      </c>
      <c r="F782"/>
    </row>
    <row r="783" spans="2:6" x14ac:dyDescent="0.25">
      <c r="B783" s="68">
        <v>2020</v>
      </c>
      <c r="C783" t="s">
        <v>664</v>
      </c>
      <c r="D783">
        <v>1</v>
      </c>
      <c r="F783"/>
    </row>
    <row r="784" spans="2:6" x14ac:dyDescent="0.25">
      <c r="B784" s="68">
        <v>2020</v>
      </c>
      <c r="C784" t="s">
        <v>664</v>
      </c>
      <c r="D784">
        <v>1</v>
      </c>
      <c r="F784"/>
    </row>
    <row r="785" spans="2:6" hidden="1" x14ac:dyDescent="0.25">
      <c r="B785" s="68">
        <v>2020</v>
      </c>
      <c r="F785"/>
    </row>
    <row r="786" spans="2:6" x14ac:dyDescent="0.25">
      <c r="B786" s="68">
        <v>2021</v>
      </c>
      <c r="C786" t="s">
        <v>664</v>
      </c>
      <c r="D786">
        <v>1</v>
      </c>
      <c r="F786"/>
    </row>
    <row r="787" spans="2:6" hidden="1" x14ac:dyDescent="0.25">
      <c r="B787" s="68">
        <v>2020</v>
      </c>
      <c r="F787"/>
    </row>
    <row r="788" spans="2:6" hidden="1" x14ac:dyDescent="0.25">
      <c r="B788" s="68">
        <v>2020</v>
      </c>
      <c r="F788"/>
    </row>
    <row r="789" spans="2:6" x14ac:dyDescent="0.25">
      <c r="B789" s="68">
        <v>2018</v>
      </c>
      <c r="C789" t="s">
        <v>654</v>
      </c>
      <c r="D789">
        <v>732</v>
      </c>
      <c r="F789"/>
    </row>
    <row r="790" spans="2:6" x14ac:dyDescent="0.25">
      <c r="B790" s="68">
        <v>2018</v>
      </c>
      <c r="C790" t="s">
        <v>654</v>
      </c>
      <c r="D790">
        <v>891</v>
      </c>
      <c r="F790"/>
    </row>
    <row r="791" spans="2:6" hidden="1" x14ac:dyDescent="0.25">
      <c r="B791" s="68">
        <v>2020</v>
      </c>
      <c r="F791"/>
    </row>
    <row r="792" spans="2:6" hidden="1" x14ac:dyDescent="0.25">
      <c r="B792" s="68">
        <v>2020</v>
      </c>
      <c r="F792"/>
    </row>
    <row r="793" spans="2:6" hidden="1" x14ac:dyDescent="0.25">
      <c r="B793" s="68">
        <v>2020</v>
      </c>
      <c r="F793"/>
    </row>
    <row r="794" spans="2:6" hidden="1" x14ac:dyDescent="0.25">
      <c r="B794" s="68">
        <v>2019</v>
      </c>
      <c r="F794"/>
    </row>
    <row r="795" spans="2:6" hidden="1" x14ac:dyDescent="0.25">
      <c r="B795" s="68">
        <v>2020</v>
      </c>
      <c r="F795"/>
    </row>
    <row r="796" spans="2:6" x14ac:dyDescent="0.25">
      <c r="B796" s="68">
        <v>2021</v>
      </c>
      <c r="C796" t="s">
        <v>668</v>
      </c>
      <c r="D796">
        <v>23</v>
      </c>
      <c r="F796"/>
    </row>
    <row r="797" spans="2:6" x14ac:dyDescent="0.25">
      <c r="B797" s="68">
        <v>2020</v>
      </c>
      <c r="C797" t="s">
        <v>668</v>
      </c>
      <c r="D797">
        <v>78</v>
      </c>
      <c r="F797"/>
    </row>
    <row r="798" spans="2:6" x14ac:dyDescent="0.25">
      <c r="B798" s="68">
        <v>2019</v>
      </c>
      <c r="C798" t="s">
        <v>668</v>
      </c>
      <c r="D798">
        <v>25</v>
      </c>
      <c r="F798"/>
    </row>
    <row r="799" spans="2:6" x14ac:dyDescent="0.25">
      <c r="B799" s="68">
        <v>2019</v>
      </c>
      <c r="C799" t="s">
        <v>668</v>
      </c>
      <c r="D799">
        <v>40</v>
      </c>
      <c r="F799"/>
    </row>
    <row r="800" spans="2:6" x14ac:dyDescent="0.25">
      <c r="B800" s="68">
        <v>2019</v>
      </c>
      <c r="C800" t="s">
        <v>668</v>
      </c>
      <c r="D800">
        <v>30</v>
      </c>
      <c r="F800"/>
    </row>
    <row r="801" spans="2:6" x14ac:dyDescent="0.25">
      <c r="B801" s="68">
        <v>2019</v>
      </c>
      <c r="C801" t="s">
        <v>668</v>
      </c>
      <c r="D801">
        <v>50</v>
      </c>
      <c r="F801"/>
    </row>
    <row r="802" spans="2:6" x14ac:dyDescent="0.25">
      <c r="B802" s="68">
        <v>2019</v>
      </c>
      <c r="C802" t="s">
        <v>668</v>
      </c>
      <c r="D802">
        <v>8</v>
      </c>
      <c r="F802"/>
    </row>
    <row r="803" spans="2:6" x14ac:dyDescent="0.25">
      <c r="B803" s="68">
        <v>2021</v>
      </c>
      <c r="C803" t="s">
        <v>668</v>
      </c>
      <c r="D803">
        <v>25</v>
      </c>
      <c r="F803"/>
    </row>
    <row r="804" spans="2:6" x14ac:dyDescent="0.25">
      <c r="B804" s="68">
        <v>2021</v>
      </c>
      <c r="C804" t="s">
        <v>668</v>
      </c>
      <c r="D804">
        <v>20</v>
      </c>
      <c r="F804"/>
    </row>
    <row r="805" spans="2:6" hidden="1" x14ac:dyDescent="0.25">
      <c r="B805" s="68">
        <v>2019</v>
      </c>
      <c r="F805"/>
    </row>
    <row r="806" spans="2:6" hidden="1" x14ac:dyDescent="0.25">
      <c r="B806" s="68">
        <v>2018</v>
      </c>
      <c r="F806"/>
    </row>
    <row r="807" spans="2:6" hidden="1" x14ac:dyDescent="0.25">
      <c r="B807" s="68">
        <v>2022</v>
      </c>
      <c r="F807"/>
    </row>
    <row r="808" spans="2:6" hidden="1" x14ac:dyDescent="0.25">
      <c r="B808" s="68">
        <v>2017</v>
      </c>
      <c r="F808"/>
    </row>
    <row r="809" spans="2:6" hidden="1" x14ac:dyDescent="0.25">
      <c r="B809" s="68">
        <v>2019</v>
      </c>
      <c r="F809"/>
    </row>
    <row r="810" spans="2:6" hidden="1" x14ac:dyDescent="0.25">
      <c r="B810" s="68">
        <v>2018</v>
      </c>
      <c r="F810"/>
    </row>
    <row r="811" spans="2:6" hidden="1" x14ac:dyDescent="0.25">
      <c r="B811" s="68">
        <v>2020</v>
      </c>
      <c r="F811"/>
    </row>
    <row r="812" spans="2:6" hidden="1" x14ac:dyDescent="0.25">
      <c r="B812" s="68">
        <v>2018</v>
      </c>
      <c r="F812"/>
    </row>
    <row r="813" spans="2:6" hidden="1" x14ac:dyDescent="0.25">
      <c r="B813" s="68">
        <v>2021</v>
      </c>
      <c r="F813"/>
    </row>
    <row r="814" spans="2:6" hidden="1" x14ac:dyDescent="0.25">
      <c r="B814" s="68">
        <v>2020</v>
      </c>
      <c r="F814"/>
    </row>
    <row r="815" spans="2:6" hidden="1" x14ac:dyDescent="0.25">
      <c r="B815" s="68">
        <v>2021</v>
      </c>
      <c r="F815"/>
    </row>
    <row r="816" spans="2:6" hidden="1" x14ac:dyDescent="0.25">
      <c r="B816" s="68">
        <v>2021</v>
      </c>
      <c r="F816"/>
    </row>
    <row r="817" spans="2:6" hidden="1" x14ac:dyDescent="0.25">
      <c r="B817" s="68">
        <v>2020</v>
      </c>
      <c r="F817"/>
    </row>
    <row r="818" spans="2:6" hidden="1" x14ac:dyDescent="0.25">
      <c r="B818" s="68">
        <v>2022</v>
      </c>
      <c r="F818"/>
    </row>
    <row r="819" spans="2:6" hidden="1" x14ac:dyDescent="0.25">
      <c r="B819" s="68">
        <v>2020</v>
      </c>
      <c r="F819"/>
    </row>
    <row r="820" spans="2:6" hidden="1" x14ac:dyDescent="0.25">
      <c r="B820" s="68">
        <v>2022</v>
      </c>
      <c r="F820"/>
    </row>
    <row r="821" spans="2:6" hidden="1" x14ac:dyDescent="0.25">
      <c r="B821" s="68">
        <v>2020</v>
      </c>
      <c r="F821"/>
    </row>
    <row r="822" spans="2:6" hidden="1" x14ac:dyDescent="0.25">
      <c r="B822" s="68">
        <v>2020</v>
      </c>
      <c r="F822"/>
    </row>
    <row r="823" spans="2:6" hidden="1" x14ac:dyDescent="0.25">
      <c r="B823" s="68">
        <v>2020</v>
      </c>
      <c r="F823"/>
    </row>
    <row r="824" spans="2:6" hidden="1" x14ac:dyDescent="0.25">
      <c r="B824" s="68">
        <v>2020</v>
      </c>
      <c r="F824"/>
    </row>
    <row r="825" spans="2:6" hidden="1" x14ac:dyDescent="0.25">
      <c r="B825" s="68">
        <v>2020</v>
      </c>
      <c r="F825"/>
    </row>
    <row r="826" spans="2:6" hidden="1" x14ac:dyDescent="0.25">
      <c r="B826" s="68">
        <v>2020</v>
      </c>
      <c r="F826"/>
    </row>
    <row r="827" spans="2:6" hidden="1" x14ac:dyDescent="0.25">
      <c r="B827" s="68">
        <v>2020</v>
      </c>
      <c r="F827"/>
    </row>
    <row r="828" spans="2:6" hidden="1" x14ac:dyDescent="0.25">
      <c r="B828" s="68">
        <v>2019</v>
      </c>
      <c r="F828"/>
    </row>
    <row r="829" spans="2:6" hidden="1" x14ac:dyDescent="0.25">
      <c r="B829" s="68">
        <v>2020</v>
      </c>
      <c r="F829"/>
    </row>
    <row r="830" spans="2:6" hidden="1" x14ac:dyDescent="0.25">
      <c r="B830" s="68">
        <v>2020</v>
      </c>
      <c r="F830"/>
    </row>
    <row r="831" spans="2:6" hidden="1" x14ac:dyDescent="0.25">
      <c r="B831" s="68">
        <v>2019</v>
      </c>
      <c r="F831"/>
    </row>
    <row r="832" spans="2:6" hidden="1" x14ac:dyDescent="0.25">
      <c r="B832" s="68">
        <v>2020</v>
      </c>
      <c r="F832"/>
    </row>
    <row r="833" spans="2:6" hidden="1" x14ac:dyDescent="0.25">
      <c r="B833" s="68">
        <v>2019</v>
      </c>
      <c r="F833"/>
    </row>
    <row r="834" spans="2:6" hidden="1" x14ac:dyDescent="0.25">
      <c r="B834" s="68">
        <v>2020</v>
      </c>
      <c r="F834"/>
    </row>
    <row r="835" spans="2:6" hidden="1" x14ac:dyDescent="0.25">
      <c r="B835" s="68">
        <v>2020</v>
      </c>
      <c r="F835"/>
    </row>
    <row r="836" spans="2:6" hidden="1" x14ac:dyDescent="0.25">
      <c r="B836" s="68">
        <v>2019</v>
      </c>
      <c r="F836"/>
    </row>
    <row r="837" spans="2:6" hidden="1" x14ac:dyDescent="0.25">
      <c r="B837" s="68">
        <v>2019</v>
      </c>
      <c r="F837"/>
    </row>
    <row r="838" spans="2:6" hidden="1" x14ac:dyDescent="0.25">
      <c r="B838" s="68">
        <v>2019</v>
      </c>
      <c r="F838"/>
    </row>
    <row r="839" spans="2:6" hidden="1" x14ac:dyDescent="0.25">
      <c r="B839" s="68">
        <v>2020</v>
      </c>
      <c r="F839"/>
    </row>
    <row r="840" spans="2:6" hidden="1" x14ac:dyDescent="0.25">
      <c r="B840" s="68">
        <v>2020</v>
      </c>
      <c r="F840"/>
    </row>
    <row r="841" spans="2:6" hidden="1" x14ac:dyDescent="0.25">
      <c r="B841" s="68">
        <v>2019</v>
      </c>
      <c r="F841"/>
    </row>
    <row r="842" spans="2:6" hidden="1" x14ac:dyDescent="0.25">
      <c r="B842" s="68">
        <v>2020</v>
      </c>
      <c r="F842"/>
    </row>
    <row r="843" spans="2:6" hidden="1" x14ac:dyDescent="0.25">
      <c r="B843" s="68">
        <v>2020</v>
      </c>
      <c r="F843"/>
    </row>
    <row r="844" spans="2:6" hidden="1" x14ac:dyDescent="0.25">
      <c r="B844" s="68">
        <v>2020</v>
      </c>
      <c r="F844"/>
    </row>
    <row r="845" spans="2:6" hidden="1" x14ac:dyDescent="0.25">
      <c r="B845" s="68">
        <v>2020</v>
      </c>
      <c r="F845"/>
    </row>
    <row r="846" spans="2:6" hidden="1" x14ac:dyDescent="0.25">
      <c r="B846" s="68">
        <v>2020</v>
      </c>
      <c r="F846"/>
    </row>
    <row r="847" spans="2:6" hidden="1" x14ac:dyDescent="0.25">
      <c r="B847" s="68">
        <v>2020</v>
      </c>
      <c r="F847"/>
    </row>
    <row r="848" spans="2:6" hidden="1" x14ac:dyDescent="0.25">
      <c r="B848" s="68">
        <v>2020</v>
      </c>
      <c r="F848"/>
    </row>
    <row r="849" spans="2:6" hidden="1" x14ac:dyDescent="0.25">
      <c r="B849" s="68">
        <v>2019</v>
      </c>
      <c r="F849"/>
    </row>
    <row r="850" spans="2:6" hidden="1" x14ac:dyDescent="0.25">
      <c r="B850" s="68">
        <v>2019</v>
      </c>
      <c r="F850"/>
    </row>
    <row r="851" spans="2:6" hidden="1" x14ac:dyDescent="0.25">
      <c r="B851" s="68">
        <v>2020</v>
      </c>
      <c r="F851"/>
    </row>
    <row r="852" spans="2:6" hidden="1" x14ac:dyDescent="0.25">
      <c r="B852" s="68">
        <v>2019</v>
      </c>
      <c r="F852"/>
    </row>
    <row r="853" spans="2:6" hidden="1" x14ac:dyDescent="0.25">
      <c r="B853" s="68">
        <v>2020</v>
      </c>
      <c r="F853"/>
    </row>
    <row r="854" spans="2:6" hidden="1" x14ac:dyDescent="0.25">
      <c r="B854" s="68">
        <v>2020</v>
      </c>
      <c r="F854"/>
    </row>
    <row r="855" spans="2:6" hidden="1" x14ac:dyDescent="0.25">
      <c r="B855" s="68">
        <v>2020</v>
      </c>
      <c r="F855"/>
    </row>
    <row r="856" spans="2:6" hidden="1" x14ac:dyDescent="0.25">
      <c r="B856" s="68">
        <v>2020</v>
      </c>
      <c r="F856"/>
    </row>
    <row r="857" spans="2:6" hidden="1" x14ac:dyDescent="0.25">
      <c r="B857" s="68">
        <v>2020</v>
      </c>
      <c r="F857"/>
    </row>
    <row r="858" spans="2:6" hidden="1" x14ac:dyDescent="0.25">
      <c r="B858" s="68">
        <v>2020</v>
      </c>
      <c r="F858"/>
    </row>
    <row r="859" spans="2:6" hidden="1" x14ac:dyDescent="0.25">
      <c r="B859" s="68">
        <v>2020</v>
      </c>
      <c r="F859"/>
    </row>
    <row r="860" spans="2:6" hidden="1" x14ac:dyDescent="0.25">
      <c r="B860" s="68">
        <v>2019</v>
      </c>
      <c r="F860"/>
    </row>
    <row r="861" spans="2:6" hidden="1" x14ac:dyDescent="0.25">
      <c r="B861" s="68">
        <v>2020</v>
      </c>
      <c r="F861"/>
    </row>
    <row r="862" spans="2:6" hidden="1" x14ac:dyDescent="0.25">
      <c r="B862" s="68">
        <v>2019</v>
      </c>
      <c r="F862"/>
    </row>
    <row r="863" spans="2:6" hidden="1" x14ac:dyDescent="0.25">
      <c r="B863" s="68">
        <v>2019</v>
      </c>
      <c r="F863"/>
    </row>
    <row r="864" spans="2:6" hidden="1" x14ac:dyDescent="0.25">
      <c r="B864" s="68">
        <v>2020</v>
      </c>
      <c r="F864"/>
    </row>
    <row r="865" spans="2:6" hidden="1" x14ac:dyDescent="0.25">
      <c r="B865" s="68">
        <v>2022</v>
      </c>
      <c r="F865"/>
    </row>
    <row r="866" spans="2:6" hidden="1" x14ac:dyDescent="0.25">
      <c r="B866" s="68">
        <v>2022</v>
      </c>
      <c r="F866"/>
    </row>
    <row r="867" spans="2:6" hidden="1" x14ac:dyDescent="0.25">
      <c r="B867" s="68">
        <v>2022</v>
      </c>
      <c r="F867"/>
    </row>
    <row r="868" spans="2:6" hidden="1" x14ac:dyDescent="0.25">
      <c r="B868" s="68">
        <v>2022</v>
      </c>
      <c r="F868"/>
    </row>
    <row r="869" spans="2:6" hidden="1" x14ac:dyDescent="0.25">
      <c r="B869" s="68">
        <v>2022</v>
      </c>
      <c r="F869"/>
    </row>
    <row r="870" spans="2:6" hidden="1" x14ac:dyDescent="0.25">
      <c r="B870" s="68">
        <v>2021</v>
      </c>
      <c r="F870"/>
    </row>
    <row r="871" spans="2:6" hidden="1" x14ac:dyDescent="0.25">
      <c r="B871" s="68">
        <v>2022</v>
      </c>
      <c r="F871"/>
    </row>
    <row r="872" spans="2:6" hidden="1" x14ac:dyDescent="0.25">
      <c r="B872" s="68">
        <v>2017</v>
      </c>
      <c r="F872"/>
    </row>
    <row r="873" spans="2:6" hidden="1" x14ac:dyDescent="0.25">
      <c r="B873" s="68">
        <v>2020</v>
      </c>
      <c r="F873"/>
    </row>
    <row r="874" spans="2:6" hidden="1" x14ac:dyDescent="0.25">
      <c r="B874" s="68">
        <v>2019</v>
      </c>
      <c r="F874"/>
    </row>
    <row r="875" spans="2:6" hidden="1" x14ac:dyDescent="0.25">
      <c r="B875" s="68">
        <v>2019</v>
      </c>
      <c r="F875"/>
    </row>
    <row r="876" spans="2:6" hidden="1" x14ac:dyDescent="0.25">
      <c r="B876" s="68">
        <v>2018</v>
      </c>
      <c r="F876"/>
    </row>
    <row r="877" spans="2:6" hidden="1" x14ac:dyDescent="0.25">
      <c r="B877" s="68">
        <v>2020</v>
      </c>
      <c r="F877"/>
    </row>
    <row r="878" spans="2:6" hidden="1" x14ac:dyDescent="0.25">
      <c r="B878" s="68">
        <v>2019</v>
      </c>
      <c r="F878"/>
    </row>
    <row r="879" spans="2:6" hidden="1" x14ac:dyDescent="0.25">
      <c r="B879" s="68">
        <v>2020</v>
      </c>
      <c r="F879"/>
    </row>
    <row r="880" spans="2:6" hidden="1" x14ac:dyDescent="0.25">
      <c r="B880" s="68">
        <v>2019</v>
      </c>
      <c r="F880"/>
    </row>
    <row r="881" spans="2:6" hidden="1" x14ac:dyDescent="0.25">
      <c r="B881" s="68">
        <v>2020</v>
      </c>
      <c r="F881"/>
    </row>
    <row r="882" spans="2:6" hidden="1" x14ac:dyDescent="0.25">
      <c r="B882" s="68">
        <v>2019</v>
      </c>
      <c r="F882"/>
    </row>
    <row r="883" spans="2:6" hidden="1" x14ac:dyDescent="0.25">
      <c r="B883" s="68">
        <v>2019</v>
      </c>
      <c r="F883"/>
    </row>
    <row r="884" spans="2:6" hidden="1" x14ac:dyDescent="0.25">
      <c r="B884" s="68">
        <v>2020</v>
      </c>
      <c r="F884"/>
    </row>
    <row r="885" spans="2:6" hidden="1" x14ac:dyDescent="0.25">
      <c r="B885" s="68">
        <v>2020</v>
      </c>
      <c r="F885"/>
    </row>
    <row r="886" spans="2:6" hidden="1" x14ac:dyDescent="0.25">
      <c r="B886" s="68">
        <v>2021</v>
      </c>
      <c r="F886"/>
    </row>
    <row r="887" spans="2:6" hidden="1" x14ac:dyDescent="0.25">
      <c r="B887" s="68">
        <v>2022</v>
      </c>
      <c r="F887"/>
    </row>
    <row r="888" spans="2:6" hidden="1" x14ac:dyDescent="0.25">
      <c r="B888" s="68">
        <v>2020</v>
      </c>
      <c r="F888"/>
    </row>
    <row r="889" spans="2:6" hidden="1" x14ac:dyDescent="0.25">
      <c r="B889" s="68">
        <v>2020</v>
      </c>
      <c r="F889"/>
    </row>
    <row r="890" spans="2:6" x14ac:dyDescent="0.25">
      <c r="B890" s="68">
        <v>2020</v>
      </c>
      <c r="C890" t="s">
        <v>868</v>
      </c>
      <c r="D890">
        <v>1</v>
      </c>
      <c r="F890"/>
    </row>
    <row r="891" spans="2:6" x14ac:dyDescent="0.25">
      <c r="B891" s="68">
        <v>2020</v>
      </c>
      <c r="C891" t="s">
        <v>868</v>
      </c>
      <c r="D891">
        <v>1</v>
      </c>
      <c r="F891"/>
    </row>
    <row r="892" spans="2:6" x14ac:dyDescent="0.25">
      <c r="B892" s="68">
        <v>2018</v>
      </c>
      <c r="C892" t="s">
        <v>868</v>
      </c>
      <c r="D892">
        <v>1</v>
      </c>
      <c r="F892"/>
    </row>
    <row r="893" spans="2:6" hidden="1" x14ac:dyDescent="0.25">
      <c r="B893" s="68">
        <v>2018</v>
      </c>
      <c r="F893"/>
    </row>
    <row r="894" spans="2:6" hidden="1" x14ac:dyDescent="0.25">
      <c r="B894" s="68">
        <v>2018</v>
      </c>
      <c r="F894"/>
    </row>
    <row r="895" spans="2:6" hidden="1" x14ac:dyDescent="0.25">
      <c r="B895" s="68">
        <v>2020</v>
      </c>
      <c r="F895"/>
    </row>
    <row r="896" spans="2:6" hidden="1" x14ac:dyDescent="0.25">
      <c r="B896" s="68">
        <v>2020</v>
      </c>
      <c r="F896"/>
    </row>
    <row r="897" spans="2:6" hidden="1" x14ac:dyDescent="0.25">
      <c r="B897" s="68">
        <v>2020</v>
      </c>
      <c r="F897"/>
    </row>
    <row r="898" spans="2:6" hidden="1" x14ac:dyDescent="0.25">
      <c r="B898" s="68">
        <v>2020</v>
      </c>
      <c r="F898"/>
    </row>
    <row r="899" spans="2:6" hidden="1" x14ac:dyDescent="0.25">
      <c r="B899" s="68">
        <v>2020</v>
      </c>
      <c r="F899"/>
    </row>
    <row r="900" spans="2:6" x14ac:dyDescent="0.25">
      <c r="B900" s="68">
        <v>2018</v>
      </c>
      <c r="C900" t="s">
        <v>868</v>
      </c>
      <c r="D900">
        <v>1</v>
      </c>
      <c r="F900"/>
    </row>
    <row r="901" spans="2:6" hidden="1" x14ac:dyDescent="0.25">
      <c r="B901" s="68">
        <v>2018</v>
      </c>
      <c r="F901"/>
    </row>
    <row r="902" spans="2:6" x14ac:dyDescent="0.25">
      <c r="B902" s="68">
        <v>2019</v>
      </c>
      <c r="C902" t="s">
        <v>868</v>
      </c>
      <c r="D902">
        <v>1</v>
      </c>
      <c r="F902"/>
    </row>
    <row r="903" spans="2:6" x14ac:dyDescent="0.25">
      <c r="B903" s="68">
        <v>2019</v>
      </c>
      <c r="C903" t="s">
        <v>868</v>
      </c>
      <c r="D903">
        <v>1</v>
      </c>
      <c r="F903"/>
    </row>
    <row r="904" spans="2:6" x14ac:dyDescent="0.25">
      <c r="B904" s="68">
        <v>2018</v>
      </c>
      <c r="C904" t="s">
        <v>868</v>
      </c>
      <c r="D904">
        <v>1</v>
      </c>
      <c r="F904"/>
    </row>
    <row r="905" spans="2:6" x14ac:dyDescent="0.25">
      <c r="B905" s="68">
        <v>2018</v>
      </c>
      <c r="C905" t="s">
        <v>868</v>
      </c>
      <c r="D905">
        <v>1</v>
      </c>
      <c r="F905"/>
    </row>
    <row r="906" spans="2:6" hidden="1" x14ac:dyDescent="0.25">
      <c r="B906" s="68">
        <v>2018</v>
      </c>
      <c r="F906"/>
    </row>
    <row r="907" spans="2:6" x14ac:dyDescent="0.25">
      <c r="B907" s="68">
        <v>2018</v>
      </c>
      <c r="C907" t="s">
        <v>868</v>
      </c>
      <c r="D907">
        <v>1</v>
      </c>
      <c r="F907"/>
    </row>
    <row r="908" spans="2:6" x14ac:dyDescent="0.25">
      <c r="B908" s="68">
        <v>2018</v>
      </c>
      <c r="C908" t="s">
        <v>868</v>
      </c>
      <c r="D908">
        <v>1</v>
      </c>
      <c r="F908"/>
    </row>
    <row r="909" spans="2:6" x14ac:dyDescent="0.25">
      <c r="B909" s="68">
        <v>2018</v>
      </c>
      <c r="C909" t="s">
        <v>868</v>
      </c>
      <c r="D909">
        <v>1</v>
      </c>
      <c r="F909"/>
    </row>
    <row r="910" spans="2:6" x14ac:dyDescent="0.25">
      <c r="B910" s="68">
        <v>2019</v>
      </c>
      <c r="C910" t="s">
        <v>868</v>
      </c>
      <c r="D910">
        <v>1</v>
      </c>
      <c r="F910"/>
    </row>
    <row r="911" spans="2:6" x14ac:dyDescent="0.25">
      <c r="B911" s="68">
        <v>2018</v>
      </c>
      <c r="C911" t="s">
        <v>868</v>
      </c>
      <c r="D911">
        <v>4</v>
      </c>
      <c r="F911"/>
    </row>
    <row r="912" spans="2:6" x14ac:dyDescent="0.25">
      <c r="B912" s="68">
        <v>2018</v>
      </c>
      <c r="C912" t="s">
        <v>868</v>
      </c>
      <c r="D912">
        <v>4</v>
      </c>
      <c r="F912"/>
    </row>
    <row r="913" spans="2:6" hidden="1" x14ac:dyDescent="0.25">
      <c r="B913" s="68">
        <v>2018</v>
      </c>
      <c r="F913"/>
    </row>
    <row r="914" spans="2:6" hidden="1" x14ac:dyDescent="0.25">
      <c r="B914" s="68">
        <v>2018</v>
      </c>
      <c r="F914"/>
    </row>
    <row r="915" spans="2:6" x14ac:dyDescent="0.25">
      <c r="B915" s="68">
        <v>2019</v>
      </c>
      <c r="C915" t="s">
        <v>868</v>
      </c>
      <c r="D915">
        <v>1</v>
      </c>
      <c r="F915"/>
    </row>
    <row r="916" spans="2:6" hidden="1" x14ac:dyDescent="0.25">
      <c r="B916" s="68">
        <v>2020</v>
      </c>
      <c r="F916"/>
    </row>
    <row r="917" spans="2:6" x14ac:dyDescent="0.25">
      <c r="B917" s="68">
        <v>2020</v>
      </c>
      <c r="C917" t="s">
        <v>868</v>
      </c>
      <c r="D917">
        <v>1</v>
      </c>
      <c r="F917"/>
    </row>
    <row r="918" spans="2:6" x14ac:dyDescent="0.25">
      <c r="B918" s="68">
        <v>2020</v>
      </c>
      <c r="C918" t="s">
        <v>868</v>
      </c>
      <c r="D918">
        <v>1</v>
      </c>
      <c r="F918"/>
    </row>
    <row r="919" spans="2:6" x14ac:dyDescent="0.25">
      <c r="B919" s="68">
        <v>2018</v>
      </c>
      <c r="C919" t="s">
        <v>868</v>
      </c>
      <c r="D919">
        <v>1</v>
      </c>
      <c r="F919"/>
    </row>
    <row r="920" spans="2:6" x14ac:dyDescent="0.25">
      <c r="B920" s="68">
        <v>2018</v>
      </c>
      <c r="C920" t="s">
        <v>868</v>
      </c>
      <c r="D920">
        <v>1</v>
      </c>
      <c r="F920"/>
    </row>
    <row r="921" spans="2:6" x14ac:dyDescent="0.25">
      <c r="B921" s="68">
        <v>2018</v>
      </c>
      <c r="C921" t="s">
        <v>868</v>
      </c>
      <c r="D921">
        <v>1</v>
      </c>
      <c r="F921"/>
    </row>
    <row r="922" spans="2:6" x14ac:dyDescent="0.25">
      <c r="B922" s="68">
        <v>2018</v>
      </c>
      <c r="C922" t="s">
        <v>868</v>
      </c>
      <c r="D922">
        <v>1</v>
      </c>
      <c r="F922"/>
    </row>
    <row r="923" spans="2:6" x14ac:dyDescent="0.25">
      <c r="B923" s="68">
        <v>2018</v>
      </c>
      <c r="C923" t="s">
        <v>868</v>
      </c>
      <c r="D923">
        <v>1</v>
      </c>
      <c r="F923"/>
    </row>
    <row r="924" spans="2:6" x14ac:dyDescent="0.25">
      <c r="B924" s="68">
        <v>2018</v>
      </c>
      <c r="C924" t="s">
        <v>868</v>
      </c>
      <c r="D924">
        <v>1</v>
      </c>
      <c r="F924"/>
    </row>
    <row r="925" spans="2:6" x14ac:dyDescent="0.25">
      <c r="B925" s="68">
        <v>2018</v>
      </c>
      <c r="C925" t="s">
        <v>868</v>
      </c>
      <c r="D925">
        <v>1</v>
      </c>
      <c r="F925"/>
    </row>
    <row r="926" spans="2:6" x14ac:dyDescent="0.25">
      <c r="B926" s="68">
        <v>2018</v>
      </c>
      <c r="C926" t="s">
        <v>868</v>
      </c>
      <c r="D926">
        <v>1</v>
      </c>
      <c r="F926"/>
    </row>
    <row r="927" spans="2:6" x14ac:dyDescent="0.25">
      <c r="B927" s="68">
        <v>2018</v>
      </c>
      <c r="C927" t="s">
        <v>868</v>
      </c>
      <c r="D927">
        <v>1</v>
      </c>
      <c r="F927"/>
    </row>
    <row r="928" spans="2:6" x14ac:dyDescent="0.25">
      <c r="B928" s="68">
        <v>2018</v>
      </c>
      <c r="C928" t="s">
        <v>868</v>
      </c>
      <c r="D928">
        <v>1</v>
      </c>
      <c r="F928"/>
    </row>
    <row r="929" spans="2:6" x14ac:dyDescent="0.25">
      <c r="B929" s="68">
        <v>2018</v>
      </c>
      <c r="C929" t="s">
        <v>868</v>
      </c>
      <c r="D929">
        <v>1</v>
      </c>
      <c r="F929"/>
    </row>
    <row r="930" spans="2:6" x14ac:dyDescent="0.25">
      <c r="B930" s="68">
        <v>2019</v>
      </c>
      <c r="C930" t="s">
        <v>868</v>
      </c>
      <c r="D930">
        <v>1</v>
      </c>
      <c r="F930"/>
    </row>
    <row r="931" spans="2:6" x14ac:dyDescent="0.25">
      <c r="B931" s="68">
        <v>2019</v>
      </c>
      <c r="C931" t="s">
        <v>868</v>
      </c>
      <c r="D931">
        <v>1</v>
      </c>
      <c r="F931"/>
    </row>
    <row r="932" spans="2:6" x14ac:dyDescent="0.25">
      <c r="B932" s="68">
        <v>2019</v>
      </c>
      <c r="C932" t="s">
        <v>868</v>
      </c>
      <c r="D932">
        <v>1</v>
      </c>
      <c r="F932"/>
    </row>
    <row r="933" spans="2:6" x14ac:dyDescent="0.25">
      <c r="B933" s="68">
        <v>2019</v>
      </c>
      <c r="C933" t="s">
        <v>868</v>
      </c>
      <c r="D933">
        <v>1</v>
      </c>
      <c r="F933"/>
    </row>
    <row r="934" spans="2:6" x14ac:dyDescent="0.25">
      <c r="B934" s="68">
        <v>2020</v>
      </c>
      <c r="C934" t="s">
        <v>868</v>
      </c>
      <c r="D934">
        <v>1</v>
      </c>
      <c r="F934"/>
    </row>
    <row r="935" spans="2:6" x14ac:dyDescent="0.25">
      <c r="B935" s="68">
        <v>2020</v>
      </c>
      <c r="C935" t="s">
        <v>868</v>
      </c>
      <c r="D935">
        <v>1</v>
      </c>
      <c r="F935"/>
    </row>
    <row r="936" spans="2:6" x14ac:dyDescent="0.25">
      <c r="B936" s="68">
        <v>2020</v>
      </c>
      <c r="C936" t="s">
        <v>868</v>
      </c>
      <c r="D936">
        <v>1</v>
      </c>
      <c r="F936"/>
    </row>
    <row r="937" spans="2:6" x14ac:dyDescent="0.25">
      <c r="B937" s="68">
        <v>2020</v>
      </c>
      <c r="C937" t="s">
        <v>868</v>
      </c>
      <c r="D937">
        <v>1</v>
      </c>
      <c r="F937"/>
    </row>
    <row r="938" spans="2:6" x14ac:dyDescent="0.25">
      <c r="B938" s="68">
        <v>2020</v>
      </c>
      <c r="C938" t="s">
        <v>868</v>
      </c>
      <c r="D938">
        <v>1</v>
      </c>
      <c r="F938"/>
    </row>
    <row r="939" spans="2:6" x14ac:dyDescent="0.25">
      <c r="B939" s="68">
        <v>2020</v>
      </c>
      <c r="C939" t="s">
        <v>868</v>
      </c>
      <c r="D939">
        <v>1</v>
      </c>
      <c r="F939"/>
    </row>
    <row r="940" spans="2:6" x14ac:dyDescent="0.25">
      <c r="B940" s="68">
        <v>2020</v>
      </c>
      <c r="C940" t="s">
        <v>868</v>
      </c>
      <c r="D940">
        <v>1</v>
      </c>
      <c r="F940"/>
    </row>
    <row r="941" spans="2:6" x14ac:dyDescent="0.25">
      <c r="B941" s="68">
        <v>2020</v>
      </c>
      <c r="C941" t="s">
        <v>868</v>
      </c>
      <c r="D941">
        <v>1</v>
      </c>
      <c r="F941"/>
    </row>
    <row r="942" spans="2:6" x14ac:dyDescent="0.25">
      <c r="B942" s="68">
        <v>2020</v>
      </c>
      <c r="C942" t="s">
        <v>868</v>
      </c>
      <c r="D942">
        <v>1</v>
      </c>
      <c r="F942"/>
    </row>
    <row r="943" spans="2:6" x14ac:dyDescent="0.25">
      <c r="B943" s="68">
        <v>2019</v>
      </c>
      <c r="C943" t="s">
        <v>868</v>
      </c>
      <c r="D943">
        <v>1</v>
      </c>
      <c r="F943"/>
    </row>
    <row r="944" spans="2:6" x14ac:dyDescent="0.25">
      <c r="B944" s="68">
        <v>2020</v>
      </c>
      <c r="C944" t="s">
        <v>868</v>
      </c>
      <c r="D944">
        <v>1</v>
      </c>
      <c r="F944"/>
    </row>
    <row r="945" spans="2:6" x14ac:dyDescent="0.25">
      <c r="B945" s="68">
        <v>2019</v>
      </c>
      <c r="C945" t="s">
        <v>868</v>
      </c>
      <c r="D945">
        <v>1</v>
      </c>
      <c r="F945"/>
    </row>
    <row r="946" spans="2:6" x14ac:dyDescent="0.25">
      <c r="B946" s="68">
        <v>2019</v>
      </c>
      <c r="C946" t="s">
        <v>868</v>
      </c>
      <c r="D946">
        <v>1</v>
      </c>
      <c r="F946"/>
    </row>
    <row r="947" spans="2:6" x14ac:dyDescent="0.25">
      <c r="B947" s="68">
        <v>2020</v>
      </c>
      <c r="C947" t="s">
        <v>868</v>
      </c>
      <c r="D947">
        <v>1</v>
      </c>
      <c r="F947"/>
    </row>
    <row r="948" spans="2:6" x14ac:dyDescent="0.25">
      <c r="B948" s="68">
        <v>2020</v>
      </c>
      <c r="C948" t="s">
        <v>868</v>
      </c>
      <c r="D948">
        <v>1</v>
      </c>
      <c r="F948"/>
    </row>
    <row r="949" spans="2:6" x14ac:dyDescent="0.25">
      <c r="B949" s="68">
        <v>2020</v>
      </c>
      <c r="C949" t="s">
        <v>868</v>
      </c>
      <c r="D949">
        <v>1</v>
      </c>
      <c r="F949"/>
    </row>
    <row r="950" spans="2:6" x14ac:dyDescent="0.25">
      <c r="B950" s="68">
        <v>2019</v>
      </c>
      <c r="C950" t="s">
        <v>868</v>
      </c>
      <c r="D950">
        <v>1</v>
      </c>
      <c r="F950"/>
    </row>
    <row r="951" spans="2:6" hidden="1" x14ac:dyDescent="0.25">
      <c r="B951" s="68">
        <v>2018</v>
      </c>
      <c r="F951"/>
    </row>
    <row r="952" spans="2:6" hidden="1" x14ac:dyDescent="0.25">
      <c r="B952" s="68">
        <v>2018</v>
      </c>
      <c r="F952"/>
    </row>
    <row r="953" spans="2:6" hidden="1" x14ac:dyDescent="0.25">
      <c r="B953" s="68">
        <v>2018</v>
      </c>
      <c r="F953"/>
    </row>
    <row r="954" spans="2:6" hidden="1" x14ac:dyDescent="0.25">
      <c r="B954" s="68">
        <v>2018</v>
      </c>
      <c r="F954"/>
    </row>
    <row r="955" spans="2:6" hidden="1" x14ac:dyDescent="0.25">
      <c r="B955" s="68">
        <v>2018</v>
      </c>
      <c r="F955"/>
    </row>
    <row r="956" spans="2:6" hidden="1" x14ac:dyDescent="0.25">
      <c r="B956" s="68">
        <v>2019</v>
      </c>
      <c r="F956"/>
    </row>
    <row r="957" spans="2:6" hidden="1" x14ac:dyDescent="0.25">
      <c r="B957" s="68">
        <v>2018</v>
      </c>
      <c r="F957"/>
    </row>
    <row r="958" spans="2:6" x14ac:dyDescent="0.25">
      <c r="B958" s="68">
        <v>2018</v>
      </c>
      <c r="C958" t="s">
        <v>674</v>
      </c>
      <c r="D958">
        <v>1</v>
      </c>
      <c r="F958"/>
    </row>
    <row r="959" spans="2:6" x14ac:dyDescent="0.25">
      <c r="B959" s="68">
        <v>2019</v>
      </c>
      <c r="C959" t="s">
        <v>611</v>
      </c>
      <c r="D959">
        <v>6.3869999999999996</v>
      </c>
      <c r="F959"/>
    </row>
    <row r="960" spans="2:6" hidden="1" x14ac:dyDescent="0.25">
      <c r="B960" s="68">
        <v>2021</v>
      </c>
      <c r="F960"/>
    </row>
    <row r="961" spans="2:6" hidden="1" x14ac:dyDescent="0.25">
      <c r="B961" s="68">
        <v>2020</v>
      </c>
      <c r="F961"/>
    </row>
    <row r="962" spans="2:6" x14ac:dyDescent="0.25">
      <c r="B962" s="68">
        <v>2019</v>
      </c>
      <c r="C962" t="s">
        <v>571</v>
      </c>
      <c r="D962">
        <v>1265</v>
      </c>
      <c r="F962"/>
    </row>
    <row r="963" spans="2:6" hidden="1" x14ac:dyDescent="0.25">
      <c r="B963" s="68">
        <v>2020</v>
      </c>
      <c r="F963"/>
    </row>
    <row r="964" spans="2:6" hidden="1" x14ac:dyDescent="0.25">
      <c r="B964" s="68">
        <v>2020</v>
      </c>
      <c r="F964"/>
    </row>
    <row r="965" spans="2:6" x14ac:dyDescent="0.25">
      <c r="B965" s="68">
        <v>2019</v>
      </c>
      <c r="C965" t="s">
        <v>571</v>
      </c>
      <c r="D965">
        <v>1812</v>
      </c>
      <c r="F965"/>
    </row>
    <row r="966" spans="2:6" x14ac:dyDescent="0.25">
      <c r="B966" s="68">
        <v>2021</v>
      </c>
      <c r="C966" t="s">
        <v>611</v>
      </c>
      <c r="D966">
        <v>9.8369999999999997</v>
      </c>
      <c r="F966"/>
    </row>
    <row r="967" spans="2:6" x14ac:dyDescent="0.25">
      <c r="B967" s="68">
        <v>2019</v>
      </c>
      <c r="C967" t="s">
        <v>611</v>
      </c>
      <c r="D967">
        <v>7.6280000000000001</v>
      </c>
      <c r="F967"/>
    </row>
    <row r="968" spans="2:6" x14ac:dyDescent="0.25">
      <c r="B968" s="68">
        <v>2017</v>
      </c>
      <c r="C968" t="s">
        <v>611</v>
      </c>
      <c r="D968">
        <v>0.65</v>
      </c>
      <c r="F968"/>
    </row>
    <row r="969" spans="2:6" x14ac:dyDescent="0.25">
      <c r="B969" s="68">
        <v>2020</v>
      </c>
      <c r="C969" t="s">
        <v>573</v>
      </c>
      <c r="D969">
        <v>425</v>
      </c>
      <c r="F969"/>
    </row>
    <row r="970" spans="2:6" hidden="1" x14ac:dyDescent="0.25">
      <c r="B970" s="68">
        <v>2019</v>
      </c>
      <c r="F970"/>
    </row>
    <row r="971" spans="2:6" x14ac:dyDescent="0.25">
      <c r="B971" s="68">
        <v>2020</v>
      </c>
      <c r="C971" t="s">
        <v>573</v>
      </c>
      <c r="D971">
        <v>506</v>
      </c>
      <c r="F971"/>
    </row>
    <row r="972" spans="2:6" x14ac:dyDescent="0.25">
      <c r="B972" s="68">
        <v>2019</v>
      </c>
      <c r="C972" t="s">
        <v>684</v>
      </c>
      <c r="D972">
        <v>3</v>
      </c>
      <c r="F972"/>
    </row>
    <row r="973" spans="2:6" x14ac:dyDescent="0.25">
      <c r="B973" s="68">
        <v>2019</v>
      </c>
      <c r="C973" t="s">
        <v>684</v>
      </c>
      <c r="D973">
        <v>2</v>
      </c>
      <c r="F973"/>
    </row>
    <row r="974" spans="2:6" x14ac:dyDescent="0.25">
      <c r="B974" s="68">
        <v>2019</v>
      </c>
      <c r="C974" t="s">
        <v>684</v>
      </c>
      <c r="D974">
        <v>2</v>
      </c>
      <c r="F974"/>
    </row>
    <row r="975" spans="2:6" x14ac:dyDescent="0.25">
      <c r="B975" s="68">
        <v>2019</v>
      </c>
      <c r="C975" t="s">
        <v>684</v>
      </c>
      <c r="D975">
        <v>2</v>
      </c>
      <c r="F975"/>
    </row>
    <row r="976" spans="2:6" x14ac:dyDescent="0.25">
      <c r="B976" s="68">
        <v>2019</v>
      </c>
      <c r="C976" t="s">
        <v>684</v>
      </c>
      <c r="D976">
        <v>4</v>
      </c>
      <c r="F976"/>
    </row>
    <row r="977" spans="2:6" x14ac:dyDescent="0.25">
      <c r="B977" s="68">
        <v>2020</v>
      </c>
      <c r="C977" t="s">
        <v>684</v>
      </c>
      <c r="D977">
        <v>2</v>
      </c>
      <c r="F977"/>
    </row>
    <row r="978" spans="2:6" hidden="1" x14ac:dyDescent="0.25">
      <c r="B978" s="68">
        <v>2020</v>
      </c>
      <c r="F978"/>
    </row>
    <row r="979" spans="2:6" x14ac:dyDescent="0.25">
      <c r="B979" s="68">
        <v>2020</v>
      </c>
      <c r="C979" t="s">
        <v>684</v>
      </c>
      <c r="D979">
        <v>2</v>
      </c>
      <c r="F979"/>
    </row>
    <row r="980" spans="2:6" hidden="1" x14ac:dyDescent="0.25">
      <c r="B980" s="68">
        <v>2019</v>
      </c>
      <c r="F980"/>
    </row>
    <row r="981" spans="2:6" x14ac:dyDescent="0.25">
      <c r="B981" s="68">
        <v>2020</v>
      </c>
      <c r="C981" t="s">
        <v>684</v>
      </c>
      <c r="D981">
        <v>6</v>
      </c>
      <c r="F981"/>
    </row>
    <row r="982" spans="2:6" hidden="1" x14ac:dyDescent="0.25">
      <c r="B982" s="68">
        <v>2020</v>
      </c>
      <c r="F982"/>
    </row>
    <row r="983" spans="2:6" x14ac:dyDescent="0.25">
      <c r="B983" s="68">
        <v>2020</v>
      </c>
      <c r="C983" t="s">
        <v>684</v>
      </c>
      <c r="D983">
        <v>2</v>
      </c>
      <c r="F983"/>
    </row>
    <row r="984" spans="2:6" hidden="1" x14ac:dyDescent="0.25">
      <c r="B984" s="68">
        <v>2017</v>
      </c>
      <c r="F984"/>
    </row>
    <row r="985" spans="2:6" hidden="1" x14ac:dyDescent="0.25">
      <c r="B985" s="68">
        <v>2020</v>
      </c>
      <c r="F985"/>
    </row>
    <row r="986" spans="2:6" hidden="1" x14ac:dyDescent="0.25">
      <c r="B986" s="68">
        <v>2020</v>
      </c>
      <c r="F986"/>
    </row>
    <row r="987" spans="2:6" hidden="1" x14ac:dyDescent="0.25">
      <c r="B987" s="68">
        <v>2020</v>
      </c>
      <c r="F987"/>
    </row>
    <row r="988" spans="2:6" hidden="1" x14ac:dyDescent="0.25">
      <c r="B988" s="68">
        <v>2018</v>
      </c>
      <c r="F988"/>
    </row>
    <row r="989" spans="2:6" hidden="1" x14ac:dyDescent="0.25">
      <c r="B989" s="68">
        <v>2018</v>
      </c>
      <c r="F989"/>
    </row>
    <row r="990" spans="2:6" hidden="1" x14ac:dyDescent="0.25">
      <c r="B990" s="68">
        <v>2017</v>
      </c>
      <c r="F990"/>
    </row>
    <row r="991" spans="2:6" hidden="1" x14ac:dyDescent="0.25">
      <c r="B991" s="68">
        <v>2020</v>
      </c>
      <c r="F991"/>
    </row>
    <row r="992" spans="2:6" hidden="1" x14ac:dyDescent="0.25">
      <c r="B992" s="68">
        <v>2021</v>
      </c>
      <c r="F992"/>
    </row>
    <row r="993" spans="2:6" hidden="1" x14ac:dyDescent="0.25">
      <c r="B993" s="68">
        <v>2019</v>
      </c>
      <c r="F993"/>
    </row>
    <row r="994" spans="2:6" x14ac:dyDescent="0.25">
      <c r="B994" s="68">
        <v>2020</v>
      </c>
      <c r="C994" t="s">
        <v>684</v>
      </c>
      <c r="D994">
        <v>3</v>
      </c>
      <c r="F994"/>
    </row>
    <row r="995" spans="2:6" x14ac:dyDescent="0.25">
      <c r="B995" s="68">
        <v>2020</v>
      </c>
      <c r="C995" t="s">
        <v>684</v>
      </c>
      <c r="D995">
        <v>8</v>
      </c>
      <c r="F995"/>
    </row>
    <row r="996" spans="2:6" hidden="1" x14ac:dyDescent="0.25">
      <c r="B996" s="68">
        <v>2018</v>
      </c>
      <c r="F996"/>
    </row>
    <row r="997" spans="2:6" hidden="1" x14ac:dyDescent="0.25">
      <c r="B997" s="68">
        <v>2020</v>
      </c>
      <c r="F997"/>
    </row>
    <row r="998" spans="2:6" hidden="1" x14ac:dyDescent="0.25">
      <c r="B998" s="68">
        <v>2020</v>
      </c>
      <c r="F998"/>
    </row>
    <row r="999" spans="2:6" hidden="1" x14ac:dyDescent="0.25">
      <c r="B999" s="68">
        <v>2020</v>
      </c>
      <c r="F999"/>
    </row>
    <row r="1000" spans="2:6" hidden="1" x14ac:dyDescent="0.25">
      <c r="B1000" s="68">
        <v>2021</v>
      </c>
      <c r="F1000"/>
    </row>
    <row r="1001" spans="2:6" hidden="1" x14ac:dyDescent="0.25">
      <c r="B1001" s="68">
        <v>2020</v>
      </c>
      <c r="F1001"/>
    </row>
    <row r="1002" spans="2:6" hidden="1" x14ac:dyDescent="0.25">
      <c r="B1002" s="68">
        <v>2020</v>
      </c>
      <c r="F1002"/>
    </row>
    <row r="1003" spans="2:6" hidden="1" x14ac:dyDescent="0.25">
      <c r="B1003" s="68">
        <v>2018</v>
      </c>
      <c r="F1003"/>
    </row>
    <row r="1004" spans="2:6" hidden="1" x14ac:dyDescent="0.25">
      <c r="B1004" s="68">
        <v>2018</v>
      </c>
      <c r="F1004"/>
    </row>
    <row r="1005" spans="2:6" hidden="1" x14ac:dyDescent="0.25">
      <c r="B1005" s="68">
        <v>2020</v>
      </c>
      <c r="F1005"/>
    </row>
    <row r="1006" spans="2:6" hidden="1" x14ac:dyDescent="0.25">
      <c r="B1006" s="68">
        <v>2020</v>
      </c>
      <c r="F1006"/>
    </row>
    <row r="1007" spans="2:6" hidden="1" x14ac:dyDescent="0.25">
      <c r="B1007" s="68">
        <v>2020</v>
      </c>
      <c r="F1007"/>
    </row>
    <row r="1008" spans="2:6" hidden="1" x14ac:dyDescent="0.25">
      <c r="B1008" s="68">
        <v>2019</v>
      </c>
      <c r="F1008"/>
    </row>
    <row r="1009" spans="2:6" hidden="1" x14ac:dyDescent="0.25">
      <c r="B1009" s="68">
        <v>2020</v>
      </c>
      <c r="F1009"/>
    </row>
    <row r="1010" spans="2:6" hidden="1" x14ac:dyDescent="0.25">
      <c r="B1010" s="68">
        <v>2021</v>
      </c>
      <c r="F1010"/>
    </row>
    <row r="1011" spans="2:6" hidden="1" x14ac:dyDescent="0.25">
      <c r="B1011" s="68">
        <v>2020</v>
      </c>
      <c r="F1011"/>
    </row>
    <row r="1012" spans="2:6" hidden="1" x14ac:dyDescent="0.25">
      <c r="B1012" s="68">
        <v>2019</v>
      </c>
      <c r="F1012"/>
    </row>
    <row r="1013" spans="2:6" hidden="1" x14ac:dyDescent="0.25">
      <c r="B1013" s="68">
        <v>2019</v>
      </c>
      <c r="F1013"/>
    </row>
    <row r="1014" spans="2:6" hidden="1" x14ac:dyDescent="0.25">
      <c r="B1014" s="68">
        <v>2019</v>
      </c>
      <c r="F1014"/>
    </row>
    <row r="1015" spans="2:6" hidden="1" x14ac:dyDescent="0.25">
      <c r="B1015" s="68">
        <v>2019</v>
      </c>
      <c r="F1015"/>
    </row>
    <row r="1016" spans="2:6" hidden="1" x14ac:dyDescent="0.25">
      <c r="B1016" s="68">
        <v>2019</v>
      </c>
      <c r="F1016"/>
    </row>
    <row r="1017" spans="2:6" hidden="1" x14ac:dyDescent="0.25">
      <c r="B1017" s="68">
        <v>2021</v>
      </c>
      <c r="F1017"/>
    </row>
    <row r="1018" spans="2:6" hidden="1" x14ac:dyDescent="0.25">
      <c r="B1018" s="68">
        <v>2021</v>
      </c>
      <c r="F1018"/>
    </row>
    <row r="1019" spans="2:6" hidden="1" x14ac:dyDescent="0.25">
      <c r="B1019" s="68">
        <v>2019</v>
      </c>
      <c r="F1019"/>
    </row>
    <row r="1020" spans="2:6" hidden="1" x14ac:dyDescent="0.25">
      <c r="B1020" s="68">
        <v>2018</v>
      </c>
      <c r="F1020"/>
    </row>
    <row r="1021" spans="2:6" hidden="1" x14ac:dyDescent="0.25">
      <c r="B1021" s="68">
        <v>2022</v>
      </c>
      <c r="F1021"/>
    </row>
    <row r="1022" spans="2:6" hidden="1" x14ac:dyDescent="0.25">
      <c r="B1022" s="68">
        <v>2017</v>
      </c>
      <c r="F1022"/>
    </row>
    <row r="1023" spans="2:6" hidden="1" x14ac:dyDescent="0.25">
      <c r="B1023" s="68">
        <v>2019</v>
      </c>
      <c r="F1023"/>
    </row>
    <row r="1024" spans="2:6" hidden="1" x14ac:dyDescent="0.25">
      <c r="B1024" s="68">
        <v>2018</v>
      </c>
      <c r="F1024"/>
    </row>
    <row r="1025" spans="2:6" hidden="1" x14ac:dyDescent="0.25">
      <c r="B1025" s="68">
        <v>2020</v>
      </c>
      <c r="F1025"/>
    </row>
    <row r="1026" spans="2:6" hidden="1" x14ac:dyDescent="0.25">
      <c r="B1026" s="68">
        <v>2018</v>
      </c>
      <c r="F1026"/>
    </row>
    <row r="1027" spans="2:6" hidden="1" x14ac:dyDescent="0.25">
      <c r="B1027" s="68">
        <v>2021</v>
      </c>
      <c r="F1027"/>
    </row>
    <row r="1028" spans="2:6" hidden="1" x14ac:dyDescent="0.25">
      <c r="B1028" s="68">
        <v>2020</v>
      </c>
      <c r="F1028"/>
    </row>
    <row r="1029" spans="2:6" hidden="1" x14ac:dyDescent="0.25">
      <c r="B1029" s="68">
        <v>2021</v>
      </c>
      <c r="F1029"/>
    </row>
    <row r="1030" spans="2:6" hidden="1" x14ac:dyDescent="0.25">
      <c r="B1030" s="68">
        <v>2021</v>
      </c>
      <c r="F1030"/>
    </row>
    <row r="1031" spans="2:6" hidden="1" x14ac:dyDescent="0.25">
      <c r="B1031" s="68">
        <v>2020</v>
      </c>
      <c r="F1031"/>
    </row>
    <row r="1032" spans="2:6" hidden="1" x14ac:dyDescent="0.25">
      <c r="B1032" s="68">
        <v>2022</v>
      </c>
      <c r="F1032"/>
    </row>
    <row r="1033" spans="2:6" hidden="1" x14ac:dyDescent="0.25">
      <c r="B1033" s="68">
        <v>2020</v>
      </c>
      <c r="F1033"/>
    </row>
    <row r="1034" spans="2:6" hidden="1" x14ac:dyDescent="0.25">
      <c r="B1034" s="68">
        <v>2022</v>
      </c>
      <c r="F1034"/>
    </row>
    <row r="1035" spans="2:6" hidden="1" x14ac:dyDescent="0.25">
      <c r="B1035" s="68">
        <v>2020</v>
      </c>
      <c r="F1035"/>
    </row>
    <row r="1036" spans="2:6" hidden="1" x14ac:dyDescent="0.25">
      <c r="B1036" s="68">
        <v>2020</v>
      </c>
      <c r="F1036"/>
    </row>
    <row r="1037" spans="2:6" hidden="1" x14ac:dyDescent="0.25">
      <c r="B1037" s="68">
        <v>2020</v>
      </c>
      <c r="F1037"/>
    </row>
    <row r="1038" spans="2:6" hidden="1" x14ac:dyDescent="0.25">
      <c r="B1038" s="68">
        <v>2020</v>
      </c>
      <c r="F1038"/>
    </row>
    <row r="1039" spans="2:6" hidden="1" x14ac:dyDescent="0.25">
      <c r="B1039" s="68">
        <v>2020</v>
      </c>
      <c r="F1039"/>
    </row>
    <row r="1040" spans="2:6" hidden="1" x14ac:dyDescent="0.25">
      <c r="B1040" s="68">
        <v>2020</v>
      </c>
      <c r="F1040"/>
    </row>
    <row r="1041" spans="2:6" hidden="1" x14ac:dyDescent="0.25">
      <c r="B1041" s="68">
        <v>2020</v>
      </c>
      <c r="F1041"/>
    </row>
    <row r="1042" spans="2:6" hidden="1" x14ac:dyDescent="0.25">
      <c r="B1042" s="68">
        <v>2019</v>
      </c>
      <c r="F1042"/>
    </row>
    <row r="1043" spans="2:6" hidden="1" x14ac:dyDescent="0.25">
      <c r="B1043" s="68">
        <v>2020</v>
      </c>
      <c r="F1043"/>
    </row>
    <row r="1044" spans="2:6" hidden="1" x14ac:dyDescent="0.25">
      <c r="B1044" s="68">
        <v>2020</v>
      </c>
      <c r="F1044"/>
    </row>
    <row r="1045" spans="2:6" hidden="1" x14ac:dyDescent="0.25">
      <c r="B1045" s="68">
        <v>2019</v>
      </c>
      <c r="F1045"/>
    </row>
    <row r="1046" spans="2:6" hidden="1" x14ac:dyDescent="0.25">
      <c r="B1046" s="68">
        <v>2020</v>
      </c>
      <c r="F1046"/>
    </row>
    <row r="1047" spans="2:6" hidden="1" x14ac:dyDescent="0.25">
      <c r="B1047" s="68">
        <v>2019</v>
      </c>
      <c r="F1047"/>
    </row>
    <row r="1048" spans="2:6" hidden="1" x14ac:dyDescent="0.25">
      <c r="B1048" s="68">
        <v>2020</v>
      </c>
      <c r="F1048"/>
    </row>
    <row r="1049" spans="2:6" hidden="1" x14ac:dyDescent="0.25">
      <c r="B1049" s="68">
        <v>2020</v>
      </c>
      <c r="F1049"/>
    </row>
    <row r="1050" spans="2:6" hidden="1" x14ac:dyDescent="0.25">
      <c r="B1050" s="68">
        <v>2019</v>
      </c>
      <c r="F1050"/>
    </row>
    <row r="1051" spans="2:6" hidden="1" x14ac:dyDescent="0.25">
      <c r="B1051" s="68">
        <v>2019</v>
      </c>
      <c r="F1051"/>
    </row>
    <row r="1052" spans="2:6" hidden="1" x14ac:dyDescent="0.25">
      <c r="B1052" s="68">
        <v>2019</v>
      </c>
      <c r="F1052"/>
    </row>
    <row r="1053" spans="2:6" hidden="1" x14ac:dyDescent="0.25">
      <c r="B1053" s="68">
        <v>2020</v>
      </c>
      <c r="F1053"/>
    </row>
    <row r="1054" spans="2:6" hidden="1" x14ac:dyDescent="0.25">
      <c r="B1054" s="68">
        <v>2020</v>
      </c>
      <c r="F1054"/>
    </row>
    <row r="1055" spans="2:6" hidden="1" x14ac:dyDescent="0.25">
      <c r="B1055" s="68">
        <v>2019</v>
      </c>
      <c r="F1055"/>
    </row>
    <row r="1056" spans="2:6" hidden="1" x14ac:dyDescent="0.25">
      <c r="B1056" s="68">
        <v>2020</v>
      </c>
      <c r="F1056"/>
    </row>
    <row r="1057" spans="2:6" hidden="1" x14ac:dyDescent="0.25">
      <c r="B1057" s="68">
        <v>2020</v>
      </c>
      <c r="F1057"/>
    </row>
    <row r="1058" spans="2:6" hidden="1" x14ac:dyDescent="0.25">
      <c r="B1058" s="68">
        <v>2020</v>
      </c>
      <c r="F1058"/>
    </row>
    <row r="1059" spans="2:6" hidden="1" x14ac:dyDescent="0.25">
      <c r="B1059" s="68">
        <v>2020</v>
      </c>
      <c r="F1059"/>
    </row>
    <row r="1060" spans="2:6" hidden="1" x14ac:dyDescent="0.25">
      <c r="B1060" s="68">
        <v>2020</v>
      </c>
      <c r="F1060"/>
    </row>
    <row r="1061" spans="2:6" hidden="1" x14ac:dyDescent="0.25">
      <c r="B1061" s="68">
        <v>2020</v>
      </c>
      <c r="F1061"/>
    </row>
    <row r="1062" spans="2:6" hidden="1" x14ac:dyDescent="0.25">
      <c r="B1062" s="68">
        <v>2020</v>
      </c>
      <c r="F1062"/>
    </row>
    <row r="1063" spans="2:6" hidden="1" x14ac:dyDescent="0.25">
      <c r="B1063" s="68">
        <v>2019</v>
      </c>
      <c r="F1063"/>
    </row>
    <row r="1064" spans="2:6" hidden="1" x14ac:dyDescent="0.25">
      <c r="B1064" s="68">
        <v>2019</v>
      </c>
      <c r="F1064"/>
    </row>
    <row r="1065" spans="2:6" hidden="1" x14ac:dyDescent="0.25">
      <c r="B1065" s="68">
        <v>2020</v>
      </c>
      <c r="F1065"/>
    </row>
    <row r="1066" spans="2:6" hidden="1" x14ac:dyDescent="0.25">
      <c r="B1066" s="68">
        <v>2019</v>
      </c>
      <c r="F1066"/>
    </row>
    <row r="1067" spans="2:6" hidden="1" x14ac:dyDescent="0.25">
      <c r="B1067" s="68">
        <v>2020</v>
      </c>
      <c r="F1067"/>
    </row>
    <row r="1068" spans="2:6" hidden="1" x14ac:dyDescent="0.25">
      <c r="B1068" s="68">
        <v>2020</v>
      </c>
      <c r="F1068"/>
    </row>
    <row r="1069" spans="2:6" hidden="1" x14ac:dyDescent="0.25">
      <c r="B1069" s="68">
        <v>2020</v>
      </c>
      <c r="F1069"/>
    </row>
    <row r="1070" spans="2:6" hidden="1" x14ac:dyDescent="0.25">
      <c r="B1070" s="68">
        <v>2020</v>
      </c>
      <c r="F1070"/>
    </row>
    <row r="1071" spans="2:6" hidden="1" x14ac:dyDescent="0.25">
      <c r="B1071" s="68">
        <v>2020</v>
      </c>
      <c r="F1071"/>
    </row>
    <row r="1072" spans="2:6" hidden="1" x14ac:dyDescent="0.25">
      <c r="B1072" s="68">
        <v>2020</v>
      </c>
      <c r="F1072"/>
    </row>
    <row r="1073" spans="2:6" hidden="1" x14ac:dyDescent="0.25">
      <c r="B1073" s="68">
        <v>2020</v>
      </c>
      <c r="F1073"/>
    </row>
    <row r="1074" spans="2:6" hidden="1" x14ac:dyDescent="0.25">
      <c r="B1074" s="68">
        <v>2019</v>
      </c>
      <c r="F1074"/>
    </row>
    <row r="1075" spans="2:6" hidden="1" x14ac:dyDescent="0.25">
      <c r="B1075" s="68">
        <v>2020</v>
      </c>
      <c r="F1075"/>
    </row>
    <row r="1076" spans="2:6" hidden="1" x14ac:dyDescent="0.25">
      <c r="B1076" s="68">
        <v>2019</v>
      </c>
      <c r="F1076"/>
    </row>
    <row r="1077" spans="2:6" hidden="1" x14ac:dyDescent="0.25">
      <c r="B1077" s="68">
        <v>2019</v>
      </c>
      <c r="F1077"/>
    </row>
    <row r="1078" spans="2:6" hidden="1" x14ac:dyDescent="0.25">
      <c r="B1078" s="68">
        <v>2020</v>
      </c>
      <c r="F1078"/>
    </row>
    <row r="1079" spans="2:6" hidden="1" x14ac:dyDescent="0.25">
      <c r="B1079" s="68">
        <v>2022</v>
      </c>
      <c r="F1079"/>
    </row>
    <row r="1080" spans="2:6" hidden="1" x14ac:dyDescent="0.25">
      <c r="B1080" s="68">
        <v>2022</v>
      </c>
      <c r="F1080"/>
    </row>
    <row r="1081" spans="2:6" hidden="1" x14ac:dyDescent="0.25">
      <c r="B1081" s="68">
        <v>2022</v>
      </c>
      <c r="F1081"/>
    </row>
    <row r="1082" spans="2:6" hidden="1" x14ac:dyDescent="0.25">
      <c r="B1082" s="68">
        <v>2022</v>
      </c>
      <c r="F1082"/>
    </row>
    <row r="1083" spans="2:6" hidden="1" x14ac:dyDescent="0.25">
      <c r="B1083" s="68">
        <v>2022</v>
      </c>
      <c r="F1083"/>
    </row>
    <row r="1084" spans="2:6" hidden="1" x14ac:dyDescent="0.25">
      <c r="B1084" s="68">
        <v>2021</v>
      </c>
      <c r="F1084"/>
    </row>
    <row r="1085" spans="2:6" hidden="1" x14ac:dyDescent="0.25">
      <c r="B1085" s="68">
        <v>2022</v>
      </c>
      <c r="F1085"/>
    </row>
    <row r="1086" spans="2:6" hidden="1" x14ac:dyDescent="0.25">
      <c r="B1086" s="68">
        <v>2017</v>
      </c>
      <c r="F1086"/>
    </row>
    <row r="1087" spans="2:6" hidden="1" x14ac:dyDescent="0.25">
      <c r="B1087" s="68">
        <v>2020</v>
      </c>
      <c r="F1087"/>
    </row>
    <row r="1088" spans="2:6" hidden="1" x14ac:dyDescent="0.25">
      <c r="B1088" s="68">
        <v>2019</v>
      </c>
      <c r="F1088"/>
    </row>
    <row r="1089" spans="2:6" hidden="1" x14ac:dyDescent="0.25">
      <c r="B1089" s="68">
        <v>2019</v>
      </c>
      <c r="F1089"/>
    </row>
    <row r="1090" spans="2:6" hidden="1" x14ac:dyDescent="0.25">
      <c r="B1090" s="68">
        <v>2018</v>
      </c>
      <c r="F1090"/>
    </row>
    <row r="1091" spans="2:6" hidden="1" x14ac:dyDescent="0.25">
      <c r="B1091" s="68">
        <v>2020</v>
      </c>
      <c r="F1091"/>
    </row>
    <row r="1092" spans="2:6" hidden="1" x14ac:dyDescent="0.25">
      <c r="B1092" s="68">
        <v>2019</v>
      </c>
      <c r="F1092"/>
    </row>
    <row r="1093" spans="2:6" hidden="1" x14ac:dyDescent="0.25">
      <c r="B1093" s="68">
        <v>2020</v>
      </c>
      <c r="F1093"/>
    </row>
    <row r="1094" spans="2:6" hidden="1" x14ac:dyDescent="0.25">
      <c r="B1094" s="68">
        <v>2019</v>
      </c>
      <c r="F1094"/>
    </row>
    <row r="1095" spans="2:6" hidden="1" x14ac:dyDescent="0.25">
      <c r="B1095" s="68">
        <v>2020</v>
      </c>
      <c r="F1095"/>
    </row>
    <row r="1096" spans="2:6" hidden="1" x14ac:dyDescent="0.25">
      <c r="B1096" s="68">
        <v>2019</v>
      </c>
      <c r="F1096"/>
    </row>
    <row r="1097" spans="2:6" hidden="1" x14ac:dyDescent="0.25">
      <c r="B1097" s="68">
        <v>2019</v>
      </c>
      <c r="F1097"/>
    </row>
    <row r="1098" spans="2:6" hidden="1" x14ac:dyDescent="0.25">
      <c r="B1098" s="68">
        <v>2020</v>
      </c>
      <c r="F1098"/>
    </row>
    <row r="1099" spans="2:6" hidden="1" x14ac:dyDescent="0.25">
      <c r="B1099" s="68">
        <v>2020</v>
      </c>
      <c r="F1099"/>
    </row>
    <row r="1100" spans="2:6" hidden="1" x14ac:dyDescent="0.25">
      <c r="B1100" s="68">
        <v>2021</v>
      </c>
      <c r="F1100"/>
    </row>
    <row r="1101" spans="2:6" hidden="1" x14ac:dyDescent="0.25">
      <c r="B1101" s="68">
        <v>2022</v>
      </c>
      <c r="F1101"/>
    </row>
    <row r="1102" spans="2:6" hidden="1" x14ac:dyDescent="0.25">
      <c r="B1102" s="68">
        <v>2020</v>
      </c>
      <c r="F1102"/>
    </row>
    <row r="1103" spans="2:6" hidden="1" x14ac:dyDescent="0.25">
      <c r="B1103" s="68">
        <v>2020</v>
      </c>
      <c r="F1103"/>
    </row>
    <row r="1104" spans="2:6" hidden="1" x14ac:dyDescent="0.25">
      <c r="B1104" s="68">
        <v>2020</v>
      </c>
      <c r="F1104"/>
    </row>
    <row r="1105" spans="2:6" hidden="1" x14ac:dyDescent="0.25">
      <c r="B1105" s="68">
        <v>2020</v>
      </c>
      <c r="F1105"/>
    </row>
    <row r="1106" spans="2:6" hidden="1" x14ac:dyDescent="0.25">
      <c r="B1106" s="68">
        <v>2018</v>
      </c>
      <c r="F1106"/>
    </row>
    <row r="1107" spans="2:6" hidden="1" x14ac:dyDescent="0.25">
      <c r="B1107" s="68">
        <v>2018</v>
      </c>
      <c r="F1107"/>
    </row>
    <row r="1108" spans="2:6" hidden="1" x14ac:dyDescent="0.25">
      <c r="B1108" s="68">
        <v>2018</v>
      </c>
      <c r="F1108"/>
    </row>
    <row r="1109" spans="2:6" hidden="1" x14ac:dyDescent="0.25">
      <c r="B1109" s="68">
        <v>2020</v>
      </c>
      <c r="F1109"/>
    </row>
    <row r="1110" spans="2:6" hidden="1" x14ac:dyDescent="0.25">
      <c r="B1110" s="68">
        <v>2020</v>
      </c>
      <c r="F1110"/>
    </row>
    <row r="1111" spans="2:6" hidden="1" x14ac:dyDescent="0.25">
      <c r="B1111" s="68">
        <v>2020</v>
      </c>
      <c r="F1111"/>
    </row>
    <row r="1112" spans="2:6" hidden="1" x14ac:dyDescent="0.25">
      <c r="B1112" s="68">
        <v>2020</v>
      </c>
      <c r="F1112"/>
    </row>
    <row r="1113" spans="2:6" hidden="1" x14ac:dyDescent="0.25">
      <c r="B1113" s="68">
        <v>2020</v>
      </c>
      <c r="F1113"/>
    </row>
    <row r="1114" spans="2:6" hidden="1" x14ac:dyDescent="0.25">
      <c r="B1114" s="68">
        <v>2018</v>
      </c>
      <c r="F1114"/>
    </row>
    <row r="1115" spans="2:6" hidden="1" x14ac:dyDescent="0.25">
      <c r="B1115" s="68">
        <v>2018</v>
      </c>
      <c r="F1115"/>
    </row>
    <row r="1116" spans="2:6" hidden="1" x14ac:dyDescent="0.25">
      <c r="B1116" s="68">
        <v>2019</v>
      </c>
      <c r="F1116"/>
    </row>
    <row r="1117" spans="2:6" hidden="1" x14ac:dyDescent="0.25">
      <c r="B1117" s="68">
        <v>2019</v>
      </c>
      <c r="F1117"/>
    </row>
    <row r="1118" spans="2:6" hidden="1" x14ac:dyDescent="0.25">
      <c r="B1118" s="68">
        <v>2018</v>
      </c>
      <c r="F1118"/>
    </row>
    <row r="1119" spans="2:6" hidden="1" x14ac:dyDescent="0.25">
      <c r="B1119" s="68">
        <v>2018</v>
      </c>
      <c r="F1119"/>
    </row>
    <row r="1120" spans="2:6" hidden="1" x14ac:dyDescent="0.25">
      <c r="B1120" s="68">
        <v>2018</v>
      </c>
      <c r="F1120"/>
    </row>
    <row r="1121" spans="2:6" hidden="1" x14ac:dyDescent="0.25">
      <c r="B1121" s="68">
        <v>2018</v>
      </c>
      <c r="F1121"/>
    </row>
    <row r="1122" spans="2:6" hidden="1" x14ac:dyDescent="0.25">
      <c r="B1122" s="68">
        <v>2018</v>
      </c>
      <c r="D1122" s="4"/>
      <c r="F1122"/>
    </row>
    <row r="1123" spans="2:6" hidden="1" x14ac:dyDescent="0.25">
      <c r="B1123" s="68">
        <v>2018</v>
      </c>
      <c r="D1123" s="4"/>
      <c r="F1123"/>
    </row>
    <row r="1124" spans="2:6" hidden="1" x14ac:dyDescent="0.25">
      <c r="B1124" s="68">
        <v>2019</v>
      </c>
      <c r="D1124" s="4"/>
      <c r="F1124"/>
    </row>
    <row r="1125" spans="2:6" hidden="1" x14ac:dyDescent="0.25">
      <c r="B1125" s="68">
        <v>2018</v>
      </c>
      <c r="D1125" s="4"/>
      <c r="F1125"/>
    </row>
    <row r="1126" spans="2:6" hidden="1" x14ac:dyDescent="0.25">
      <c r="B1126" s="68">
        <v>2018</v>
      </c>
      <c r="D1126" s="4"/>
      <c r="F1126"/>
    </row>
    <row r="1127" spans="2:6" hidden="1" x14ac:dyDescent="0.25">
      <c r="B1127" s="68">
        <v>2018</v>
      </c>
      <c r="D1127" s="4"/>
      <c r="F1127"/>
    </row>
    <row r="1128" spans="2:6" hidden="1" x14ac:dyDescent="0.25">
      <c r="B1128" s="68">
        <v>2018</v>
      </c>
      <c r="D1128" s="4"/>
      <c r="F1128"/>
    </row>
    <row r="1129" spans="2:6" hidden="1" x14ac:dyDescent="0.25">
      <c r="B1129" s="68">
        <v>2019</v>
      </c>
      <c r="D1129" s="4"/>
      <c r="F1129"/>
    </row>
    <row r="1130" spans="2:6" hidden="1" x14ac:dyDescent="0.25">
      <c r="B1130" s="68">
        <v>2020</v>
      </c>
      <c r="D1130" s="4"/>
      <c r="F1130"/>
    </row>
    <row r="1131" spans="2:6" hidden="1" x14ac:dyDescent="0.25">
      <c r="B1131" s="68">
        <v>2020</v>
      </c>
      <c r="D1131" s="4"/>
      <c r="F1131"/>
    </row>
    <row r="1132" spans="2:6" hidden="1" x14ac:dyDescent="0.25">
      <c r="B1132" s="68">
        <v>2020</v>
      </c>
      <c r="D1132" s="4"/>
      <c r="F1132"/>
    </row>
    <row r="1133" spans="2:6" hidden="1" x14ac:dyDescent="0.25">
      <c r="B1133" s="68">
        <v>2018</v>
      </c>
      <c r="D1133" s="4"/>
      <c r="F1133"/>
    </row>
    <row r="1134" spans="2:6" hidden="1" x14ac:dyDescent="0.25">
      <c r="B1134" s="68">
        <v>2018</v>
      </c>
      <c r="D1134" s="4"/>
      <c r="F1134"/>
    </row>
    <row r="1135" spans="2:6" hidden="1" x14ac:dyDescent="0.25">
      <c r="B1135" s="68">
        <v>2018</v>
      </c>
      <c r="D1135" s="4"/>
      <c r="F1135"/>
    </row>
    <row r="1136" spans="2:6" hidden="1" x14ac:dyDescent="0.25">
      <c r="B1136" s="68">
        <v>2018</v>
      </c>
      <c r="D1136" s="4"/>
      <c r="F1136"/>
    </row>
    <row r="1137" spans="2:6" hidden="1" x14ac:dyDescent="0.25">
      <c r="B1137" s="68">
        <v>2018</v>
      </c>
      <c r="D1137" s="4"/>
      <c r="F1137"/>
    </row>
    <row r="1138" spans="2:6" hidden="1" x14ac:dyDescent="0.25">
      <c r="B1138" s="68">
        <v>2018</v>
      </c>
      <c r="D1138" s="4"/>
      <c r="F1138"/>
    </row>
    <row r="1139" spans="2:6" hidden="1" x14ac:dyDescent="0.25">
      <c r="B1139" s="68">
        <v>2018</v>
      </c>
      <c r="D1139" s="4"/>
      <c r="F1139"/>
    </row>
    <row r="1140" spans="2:6" hidden="1" x14ac:dyDescent="0.25">
      <c r="B1140" s="68">
        <v>2018</v>
      </c>
      <c r="D1140" s="4"/>
      <c r="F1140"/>
    </row>
    <row r="1141" spans="2:6" hidden="1" x14ac:dyDescent="0.25">
      <c r="B1141" s="68">
        <v>2018</v>
      </c>
      <c r="D1141" s="4"/>
      <c r="F1141"/>
    </row>
    <row r="1142" spans="2:6" hidden="1" x14ac:dyDescent="0.25">
      <c r="B1142" s="68">
        <v>2018</v>
      </c>
      <c r="D1142" s="4"/>
      <c r="F1142"/>
    </row>
    <row r="1143" spans="2:6" hidden="1" x14ac:dyDescent="0.25">
      <c r="B1143" s="68">
        <v>2018</v>
      </c>
      <c r="D1143" s="4"/>
      <c r="F1143"/>
    </row>
    <row r="1144" spans="2:6" hidden="1" x14ac:dyDescent="0.25">
      <c r="B1144" s="68">
        <v>2019</v>
      </c>
      <c r="D1144" s="4"/>
      <c r="F1144"/>
    </row>
    <row r="1145" spans="2:6" hidden="1" x14ac:dyDescent="0.25">
      <c r="B1145" s="68">
        <v>2019</v>
      </c>
      <c r="D1145" s="4"/>
      <c r="F1145"/>
    </row>
    <row r="1146" spans="2:6" hidden="1" x14ac:dyDescent="0.25">
      <c r="B1146" s="68">
        <v>2019</v>
      </c>
      <c r="D1146" s="4"/>
      <c r="F1146"/>
    </row>
    <row r="1147" spans="2:6" hidden="1" x14ac:dyDescent="0.25">
      <c r="B1147" s="68">
        <v>2019</v>
      </c>
      <c r="D1147" s="4"/>
      <c r="F1147"/>
    </row>
    <row r="1148" spans="2:6" hidden="1" x14ac:dyDescent="0.25">
      <c r="B1148" s="68">
        <v>2020</v>
      </c>
      <c r="D1148" s="4"/>
      <c r="F1148"/>
    </row>
    <row r="1149" spans="2:6" hidden="1" x14ac:dyDescent="0.25">
      <c r="B1149" s="68">
        <v>2020</v>
      </c>
      <c r="D1149" s="4"/>
      <c r="F1149"/>
    </row>
    <row r="1150" spans="2:6" hidden="1" x14ac:dyDescent="0.25">
      <c r="B1150" s="68">
        <v>2020</v>
      </c>
      <c r="D1150" s="4"/>
      <c r="F1150"/>
    </row>
    <row r="1151" spans="2:6" hidden="1" x14ac:dyDescent="0.25">
      <c r="B1151" s="68">
        <v>2020</v>
      </c>
      <c r="D1151" s="4"/>
      <c r="F1151"/>
    </row>
    <row r="1152" spans="2:6" hidden="1" x14ac:dyDescent="0.25">
      <c r="B1152" s="68">
        <v>2020</v>
      </c>
      <c r="D1152" s="4"/>
    </row>
    <row r="1153" spans="2:4" hidden="1" x14ac:dyDescent="0.25">
      <c r="B1153" s="68">
        <v>2020</v>
      </c>
      <c r="D1153" s="4"/>
    </row>
    <row r="1154" spans="2:4" hidden="1" x14ac:dyDescent="0.25">
      <c r="B1154" s="68">
        <v>2020</v>
      </c>
      <c r="D1154" s="4"/>
    </row>
    <row r="1155" spans="2:4" hidden="1" x14ac:dyDescent="0.25">
      <c r="B1155" s="68">
        <v>2020</v>
      </c>
      <c r="D1155" s="4"/>
    </row>
    <row r="1156" spans="2:4" hidden="1" x14ac:dyDescent="0.25">
      <c r="B1156" s="68">
        <v>2020</v>
      </c>
      <c r="D1156" s="4"/>
    </row>
    <row r="1157" spans="2:4" hidden="1" x14ac:dyDescent="0.25">
      <c r="B1157" s="68">
        <v>2019</v>
      </c>
      <c r="D1157" s="4"/>
    </row>
    <row r="1158" spans="2:4" hidden="1" x14ac:dyDescent="0.25">
      <c r="B1158" s="68">
        <v>2020</v>
      </c>
      <c r="D1158" s="4"/>
    </row>
    <row r="1159" spans="2:4" hidden="1" x14ac:dyDescent="0.25">
      <c r="B1159" s="68">
        <v>2019</v>
      </c>
      <c r="D1159" s="4"/>
    </row>
    <row r="1160" spans="2:4" hidden="1" x14ac:dyDescent="0.25">
      <c r="B1160" s="68">
        <v>2019</v>
      </c>
      <c r="D1160" s="4"/>
    </row>
    <row r="1161" spans="2:4" hidden="1" x14ac:dyDescent="0.25">
      <c r="B1161" s="68">
        <v>2020</v>
      </c>
      <c r="D1161" s="4"/>
    </row>
    <row r="1162" spans="2:4" hidden="1" x14ac:dyDescent="0.25">
      <c r="B1162" s="68">
        <v>2020</v>
      </c>
      <c r="D1162" s="4"/>
    </row>
    <row r="1163" spans="2:4" hidden="1" x14ac:dyDescent="0.25">
      <c r="B1163" s="68">
        <v>2020</v>
      </c>
      <c r="D1163" s="4"/>
    </row>
    <row r="1164" spans="2:4" hidden="1" x14ac:dyDescent="0.25">
      <c r="B1164" s="68">
        <v>2019</v>
      </c>
      <c r="D1164" s="4"/>
    </row>
    <row r="1165" spans="2:4" hidden="1" x14ac:dyDescent="0.25">
      <c r="B1165" s="68">
        <v>2018</v>
      </c>
      <c r="D1165" s="4"/>
    </row>
    <row r="1166" spans="2:4" hidden="1" x14ac:dyDescent="0.25">
      <c r="B1166" s="68">
        <v>2018</v>
      </c>
      <c r="D1166" s="4"/>
    </row>
    <row r="1167" spans="2:4" hidden="1" x14ac:dyDescent="0.25">
      <c r="B1167" s="68">
        <v>2018</v>
      </c>
      <c r="D1167" s="4"/>
    </row>
    <row r="1168" spans="2:4" hidden="1" x14ac:dyDescent="0.25">
      <c r="B1168" s="68">
        <v>2018</v>
      </c>
      <c r="D1168" s="4"/>
    </row>
    <row r="1169" spans="2:4" hidden="1" x14ac:dyDescent="0.25">
      <c r="B1169" s="68">
        <v>2018</v>
      </c>
      <c r="D1169" s="4"/>
    </row>
    <row r="1170" spans="2:4" hidden="1" x14ac:dyDescent="0.25">
      <c r="B1170" s="68">
        <v>2019</v>
      </c>
      <c r="D1170" s="4"/>
    </row>
    <row r="1171" spans="2:4" hidden="1" x14ac:dyDescent="0.25">
      <c r="B1171" s="68">
        <v>2018</v>
      </c>
      <c r="D1171" s="4"/>
    </row>
    <row r="1172" spans="2:4" hidden="1" x14ac:dyDescent="0.25">
      <c r="B1172" s="68">
        <v>2018</v>
      </c>
      <c r="D1172" s="4"/>
    </row>
    <row r="1173" spans="2:4" hidden="1" x14ac:dyDescent="0.25">
      <c r="B1173" s="68">
        <v>2019</v>
      </c>
      <c r="D1173" s="4"/>
    </row>
    <row r="1174" spans="2:4" hidden="1" x14ac:dyDescent="0.25">
      <c r="B1174" s="68">
        <v>2021</v>
      </c>
      <c r="D1174" s="4"/>
    </row>
    <row r="1175" spans="2:4" hidden="1" x14ac:dyDescent="0.25">
      <c r="B1175" s="68">
        <v>2020</v>
      </c>
      <c r="D1175" s="4"/>
    </row>
    <row r="1176" spans="2:4" x14ac:dyDescent="0.25">
      <c r="B1176" s="68">
        <v>2019</v>
      </c>
      <c r="C1176" t="s">
        <v>573</v>
      </c>
      <c r="D1176" s="4">
        <v>422</v>
      </c>
    </row>
    <row r="1177" spans="2:4" hidden="1" x14ac:dyDescent="0.25">
      <c r="B1177" s="68">
        <v>2020</v>
      </c>
      <c r="D1177" s="4"/>
    </row>
    <row r="1178" spans="2:4" hidden="1" x14ac:dyDescent="0.25">
      <c r="B1178" s="68">
        <v>2020</v>
      </c>
      <c r="D1178" s="4"/>
    </row>
    <row r="1179" spans="2:4" x14ac:dyDescent="0.25">
      <c r="B1179" s="68">
        <v>2019</v>
      </c>
      <c r="C1179" t="s">
        <v>573</v>
      </c>
      <c r="D1179" s="4">
        <v>308292</v>
      </c>
    </row>
    <row r="1180" spans="2:4" hidden="1" x14ac:dyDescent="0.25">
      <c r="B1180" s="68">
        <v>2021</v>
      </c>
      <c r="D1180" s="4"/>
    </row>
    <row r="1181" spans="2:4" hidden="1" x14ac:dyDescent="0.25">
      <c r="B1181" s="68">
        <v>2019</v>
      </c>
      <c r="D1181" s="4"/>
    </row>
    <row r="1182" spans="2:4" hidden="1" x14ac:dyDescent="0.25">
      <c r="B1182" s="68">
        <v>2017</v>
      </c>
      <c r="D1182" s="4"/>
    </row>
    <row r="1183" spans="2:4" x14ac:dyDescent="0.25">
      <c r="B1183" s="68">
        <v>2020</v>
      </c>
      <c r="C1183" t="s">
        <v>611</v>
      </c>
      <c r="D1183" s="4">
        <v>7.62</v>
      </c>
    </row>
    <row r="1184" spans="2:4" hidden="1" x14ac:dyDescent="0.25">
      <c r="B1184" s="68">
        <v>2019</v>
      </c>
      <c r="D1184" s="4"/>
    </row>
    <row r="1185" spans="2:4" x14ac:dyDescent="0.25">
      <c r="B1185" s="68">
        <v>2020</v>
      </c>
      <c r="C1185" t="s">
        <v>611</v>
      </c>
      <c r="D1185" s="4">
        <v>4.508</v>
      </c>
    </row>
  </sheetData>
  <sortState ref="B99:D411">
    <sortCondition ref="B2"/>
  </sortState>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8"/>
  <sheetViews>
    <sheetView topLeftCell="A4" zoomScale="85" zoomScaleNormal="85" workbookViewId="0">
      <selection activeCell="A3" sqref="A1:XFD3"/>
    </sheetView>
  </sheetViews>
  <sheetFormatPr defaultRowHeight="15" x14ac:dyDescent="0.25"/>
  <cols>
    <col min="1" max="1" width="5.28515625" customWidth="1"/>
    <col min="2" max="2" width="20.42578125" customWidth="1"/>
    <col min="3" max="3" width="21.42578125" customWidth="1"/>
    <col min="4" max="4" width="25.28515625" customWidth="1"/>
    <col min="5" max="5" width="18.42578125" customWidth="1"/>
    <col min="6" max="6" width="18.28515625" customWidth="1"/>
    <col min="7" max="7" width="17" customWidth="1"/>
    <col min="8" max="8" width="24" customWidth="1"/>
  </cols>
  <sheetData>
    <row r="1" spans="1:9" s="4" customFormat="1" ht="15.75" hidden="1" x14ac:dyDescent="0.25">
      <c r="C1" s="116"/>
      <c r="D1" s="116"/>
      <c r="E1" s="116"/>
      <c r="F1" s="116"/>
      <c r="G1" s="116" t="s">
        <v>52</v>
      </c>
      <c r="H1" s="116"/>
    </row>
    <row r="2" spans="1:9" s="4" customFormat="1" ht="15.75" hidden="1" x14ac:dyDescent="0.25">
      <c r="C2" s="117"/>
      <c r="D2" s="117"/>
      <c r="E2" s="117"/>
      <c r="F2" s="117"/>
      <c r="G2" s="117" t="s">
        <v>0</v>
      </c>
      <c r="H2" s="117"/>
    </row>
    <row r="3" spans="1:9" s="4" customFormat="1" ht="15.75" hidden="1" x14ac:dyDescent="0.25">
      <c r="C3" s="117"/>
      <c r="D3" s="117"/>
      <c r="E3" s="117"/>
      <c r="F3" s="117"/>
      <c r="G3" s="117" t="s">
        <v>16</v>
      </c>
      <c r="H3" s="117"/>
    </row>
    <row r="4" spans="1:9" s="4" customFormat="1" x14ac:dyDescent="0.25"/>
    <row r="5" spans="1:9" ht="15.75" x14ac:dyDescent="0.25">
      <c r="A5" s="127" t="s">
        <v>25</v>
      </c>
      <c r="B5" s="127"/>
      <c r="C5" s="127"/>
      <c r="D5" s="127"/>
      <c r="E5" s="127"/>
      <c r="F5" s="127"/>
      <c r="G5" s="127"/>
      <c r="H5" s="127"/>
      <c r="I5" s="20"/>
    </row>
    <row r="6" spans="1:9" ht="15.75" x14ac:dyDescent="0.25">
      <c r="A6" s="19"/>
      <c r="B6" s="19"/>
      <c r="C6" s="19"/>
      <c r="D6" s="6"/>
      <c r="E6" s="6"/>
      <c r="F6" s="6"/>
      <c r="G6" s="6"/>
      <c r="H6" s="6"/>
    </row>
    <row r="7" spans="1:9" x14ac:dyDescent="0.25">
      <c r="A7" s="27" t="s">
        <v>852</v>
      </c>
      <c r="B7" s="48"/>
      <c r="C7" s="48"/>
      <c r="D7" s="24"/>
      <c r="E7" s="24"/>
      <c r="F7" s="24"/>
      <c r="G7" s="24"/>
      <c r="H7" s="24"/>
    </row>
    <row r="8" spans="1:9" x14ac:dyDescent="0.25">
      <c r="A8" s="49" t="s">
        <v>734</v>
      </c>
      <c r="B8" s="48"/>
      <c r="C8" s="48"/>
      <c r="D8" s="24"/>
      <c r="E8" s="24"/>
      <c r="F8" s="24"/>
      <c r="G8" s="24"/>
      <c r="H8" s="24"/>
    </row>
    <row r="9" spans="1:9" ht="71.25" x14ac:dyDescent="0.25">
      <c r="A9" s="50" t="s">
        <v>26</v>
      </c>
      <c r="B9" s="34" t="s">
        <v>19</v>
      </c>
      <c r="C9" s="34" t="s">
        <v>27</v>
      </c>
      <c r="D9" s="34" t="s">
        <v>28</v>
      </c>
      <c r="E9" s="34" t="s">
        <v>29</v>
      </c>
      <c r="F9" s="34" t="s">
        <v>30</v>
      </c>
      <c r="G9" s="34" t="s">
        <v>31</v>
      </c>
      <c r="H9" s="34" t="s">
        <v>32</v>
      </c>
    </row>
    <row r="10" spans="1:9" ht="90" x14ac:dyDescent="0.25">
      <c r="A10" s="31">
        <v>1</v>
      </c>
      <c r="B10" s="31" t="s">
        <v>56</v>
      </c>
      <c r="C10" s="31" t="s">
        <v>704</v>
      </c>
      <c r="D10" s="31" t="s">
        <v>705</v>
      </c>
      <c r="E10" s="31" t="s">
        <v>706</v>
      </c>
      <c r="F10" s="31" t="s">
        <v>707</v>
      </c>
      <c r="G10" s="31" t="s">
        <v>706</v>
      </c>
      <c r="H10" s="58" t="s">
        <v>725</v>
      </c>
    </row>
    <row r="11" spans="1:9" ht="75" x14ac:dyDescent="0.25">
      <c r="A11" s="31">
        <v>2</v>
      </c>
      <c r="B11" s="31" t="s">
        <v>708</v>
      </c>
      <c r="C11" s="31" t="s">
        <v>704</v>
      </c>
      <c r="D11" s="31" t="s">
        <v>709</v>
      </c>
      <c r="E11" s="31" t="s">
        <v>706</v>
      </c>
      <c r="F11" s="31" t="s">
        <v>707</v>
      </c>
      <c r="G11" s="31" t="s">
        <v>706</v>
      </c>
      <c r="H11" s="58" t="s">
        <v>725</v>
      </c>
    </row>
    <row r="12" spans="1:9" ht="45" x14ac:dyDescent="0.25">
      <c r="A12" s="102">
        <v>3</v>
      </c>
      <c r="B12" s="113" t="s">
        <v>429</v>
      </c>
      <c r="C12" s="113" t="s">
        <v>710</v>
      </c>
      <c r="D12" s="33" t="s">
        <v>711</v>
      </c>
      <c r="E12" s="102" t="s">
        <v>706</v>
      </c>
      <c r="F12" s="102" t="s">
        <v>707</v>
      </c>
      <c r="G12" s="102" t="s">
        <v>706</v>
      </c>
      <c r="H12" s="102" t="s">
        <v>725</v>
      </c>
    </row>
    <row r="13" spans="1:9" s="4" customFormat="1" ht="30" x14ac:dyDescent="0.25">
      <c r="A13" s="102"/>
      <c r="B13" s="113"/>
      <c r="C13" s="113"/>
      <c r="D13" s="33" t="s">
        <v>712</v>
      </c>
      <c r="E13" s="102"/>
      <c r="F13" s="102"/>
      <c r="G13" s="102"/>
      <c r="H13" s="102"/>
    </row>
    <row r="14" spans="1:9" s="4" customFormat="1" ht="62.25" customHeight="1" x14ac:dyDescent="0.25">
      <c r="A14" s="102">
        <v>4</v>
      </c>
      <c r="B14" s="102" t="s">
        <v>64</v>
      </c>
      <c r="C14" s="102" t="s">
        <v>713</v>
      </c>
      <c r="D14" s="31" t="s">
        <v>714</v>
      </c>
      <c r="E14" s="102" t="s">
        <v>706</v>
      </c>
      <c r="F14" s="102" t="s">
        <v>707</v>
      </c>
      <c r="G14" s="102" t="s">
        <v>706</v>
      </c>
      <c r="H14" s="102" t="s">
        <v>725</v>
      </c>
    </row>
    <row r="15" spans="1:9" s="4" customFormat="1" ht="30" x14ac:dyDescent="0.25">
      <c r="A15" s="102"/>
      <c r="B15" s="102"/>
      <c r="C15" s="102"/>
      <c r="D15" s="31" t="s">
        <v>715</v>
      </c>
      <c r="E15" s="102"/>
      <c r="F15" s="102"/>
      <c r="G15" s="102"/>
      <c r="H15" s="102"/>
    </row>
    <row r="16" spans="1:9" s="4" customFormat="1" ht="75" x14ac:dyDescent="0.25">
      <c r="A16" s="31">
        <v>5</v>
      </c>
      <c r="B16" s="31" t="s">
        <v>126</v>
      </c>
      <c r="C16" s="31" t="s">
        <v>704</v>
      </c>
      <c r="D16" s="31" t="s">
        <v>716</v>
      </c>
      <c r="E16" s="31" t="s">
        <v>706</v>
      </c>
      <c r="F16" s="31" t="s">
        <v>707</v>
      </c>
      <c r="G16" s="31" t="s">
        <v>706</v>
      </c>
      <c r="H16" s="58" t="s">
        <v>725</v>
      </c>
    </row>
    <row r="17" spans="1:8" s="4" customFormat="1" ht="105" x14ac:dyDescent="0.25">
      <c r="A17" s="31">
        <v>6</v>
      </c>
      <c r="B17" s="31" t="s">
        <v>717</v>
      </c>
      <c r="C17" s="31" t="s">
        <v>704</v>
      </c>
      <c r="D17" s="31" t="s">
        <v>718</v>
      </c>
      <c r="E17" s="31" t="s">
        <v>706</v>
      </c>
      <c r="F17" s="31" t="s">
        <v>707</v>
      </c>
      <c r="G17" s="31" t="s">
        <v>706</v>
      </c>
      <c r="H17" s="58" t="s">
        <v>725</v>
      </c>
    </row>
    <row r="18" spans="1:8" s="4" customFormat="1" ht="60" x14ac:dyDescent="0.25">
      <c r="A18" s="31">
        <v>7</v>
      </c>
      <c r="B18" s="31" t="s">
        <v>134</v>
      </c>
      <c r="C18" s="31" t="s">
        <v>704</v>
      </c>
      <c r="D18" s="31" t="s">
        <v>719</v>
      </c>
      <c r="E18" s="31" t="s">
        <v>706</v>
      </c>
      <c r="F18" s="31" t="s">
        <v>707</v>
      </c>
      <c r="G18" s="31" t="s">
        <v>706</v>
      </c>
      <c r="H18" s="58" t="s">
        <v>725</v>
      </c>
    </row>
    <row r="19" spans="1:8" s="4" customFormat="1" ht="45" x14ac:dyDescent="0.25">
      <c r="A19" s="102">
        <v>8</v>
      </c>
      <c r="B19" s="102" t="s">
        <v>137</v>
      </c>
      <c r="C19" s="102" t="s">
        <v>713</v>
      </c>
      <c r="D19" s="31" t="s">
        <v>720</v>
      </c>
      <c r="E19" s="102" t="s">
        <v>706</v>
      </c>
      <c r="F19" s="102" t="s">
        <v>707</v>
      </c>
      <c r="G19" s="102" t="s">
        <v>706</v>
      </c>
      <c r="H19" s="102" t="s">
        <v>725</v>
      </c>
    </row>
    <row r="20" spans="1:8" s="4" customFormat="1" ht="30" x14ac:dyDescent="0.25">
      <c r="A20" s="102"/>
      <c r="B20" s="102"/>
      <c r="C20" s="102"/>
      <c r="D20" s="31" t="s">
        <v>715</v>
      </c>
      <c r="E20" s="102"/>
      <c r="F20" s="102"/>
      <c r="G20" s="102"/>
      <c r="H20" s="102"/>
    </row>
    <row r="21" spans="1:8" s="4" customFormat="1" ht="105" x14ac:dyDescent="0.25">
      <c r="A21" s="31">
        <v>9</v>
      </c>
      <c r="B21" s="31" t="s">
        <v>140</v>
      </c>
      <c r="C21" s="31" t="s">
        <v>704</v>
      </c>
      <c r="D21" s="31" t="s">
        <v>721</v>
      </c>
      <c r="E21" s="31" t="s">
        <v>722</v>
      </c>
      <c r="F21" s="31" t="s">
        <v>723</v>
      </c>
      <c r="G21" s="31" t="s">
        <v>860</v>
      </c>
      <c r="H21" s="31" t="s">
        <v>725</v>
      </c>
    </row>
    <row r="22" spans="1:8" s="4" customFormat="1" ht="60" x14ac:dyDescent="0.25">
      <c r="A22" s="102">
        <v>10</v>
      </c>
      <c r="B22" s="102" t="s">
        <v>144</v>
      </c>
      <c r="C22" s="113" t="s">
        <v>710</v>
      </c>
      <c r="D22" s="33" t="s">
        <v>733</v>
      </c>
      <c r="E22" s="102" t="s">
        <v>706</v>
      </c>
      <c r="F22" s="102" t="s">
        <v>707</v>
      </c>
      <c r="G22" s="102" t="s">
        <v>706</v>
      </c>
      <c r="H22" s="102" t="s">
        <v>725</v>
      </c>
    </row>
    <row r="23" spans="1:8" s="4" customFormat="1" ht="30" x14ac:dyDescent="0.25">
      <c r="A23" s="102"/>
      <c r="B23" s="102"/>
      <c r="C23" s="113"/>
      <c r="D23" s="33" t="s">
        <v>712</v>
      </c>
      <c r="E23" s="102"/>
      <c r="F23" s="102"/>
      <c r="G23" s="102"/>
      <c r="H23" s="102"/>
    </row>
    <row r="24" spans="1:8" s="4" customFormat="1" ht="60" x14ac:dyDescent="0.25">
      <c r="A24" s="102">
        <v>11</v>
      </c>
      <c r="B24" s="113" t="s">
        <v>230</v>
      </c>
      <c r="C24" s="113" t="s">
        <v>710</v>
      </c>
      <c r="D24" s="33" t="s">
        <v>726</v>
      </c>
      <c r="E24" s="102" t="s">
        <v>706</v>
      </c>
      <c r="F24" s="102" t="s">
        <v>707</v>
      </c>
      <c r="G24" s="102" t="s">
        <v>706</v>
      </c>
      <c r="H24" s="102" t="s">
        <v>725</v>
      </c>
    </row>
    <row r="25" spans="1:8" s="4" customFormat="1" ht="30" x14ac:dyDescent="0.25">
      <c r="A25" s="102"/>
      <c r="B25" s="113"/>
      <c r="C25" s="113"/>
      <c r="D25" s="33" t="s">
        <v>712</v>
      </c>
      <c r="E25" s="102"/>
      <c r="F25" s="102"/>
      <c r="G25" s="102"/>
      <c r="H25" s="129"/>
    </row>
    <row r="26" spans="1:8" s="4" customFormat="1" ht="30" x14ac:dyDescent="0.25">
      <c r="A26" s="102">
        <v>12</v>
      </c>
      <c r="B26" s="102" t="s">
        <v>146</v>
      </c>
      <c r="C26" s="102" t="s">
        <v>713</v>
      </c>
      <c r="D26" s="31" t="s">
        <v>727</v>
      </c>
      <c r="E26" s="102" t="s">
        <v>706</v>
      </c>
      <c r="F26" s="102" t="s">
        <v>707</v>
      </c>
      <c r="G26" s="102" t="s">
        <v>706</v>
      </c>
      <c r="H26" s="102" t="s">
        <v>725</v>
      </c>
    </row>
    <row r="27" spans="1:8" s="4" customFormat="1" ht="30" x14ac:dyDescent="0.25">
      <c r="A27" s="102"/>
      <c r="B27" s="102"/>
      <c r="C27" s="102"/>
      <c r="D27" s="31" t="s">
        <v>715</v>
      </c>
      <c r="E27" s="102"/>
      <c r="F27" s="102"/>
      <c r="G27" s="102"/>
      <c r="H27" s="102"/>
    </row>
    <row r="28" spans="1:8" s="4" customFormat="1" ht="30" x14ac:dyDescent="0.25">
      <c r="A28" s="102">
        <v>13</v>
      </c>
      <c r="B28" s="102" t="s">
        <v>147</v>
      </c>
      <c r="C28" s="102" t="s">
        <v>713</v>
      </c>
      <c r="D28" s="31" t="s">
        <v>728</v>
      </c>
      <c r="E28" s="102" t="s">
        <v>706</v>
      </c>
      <c r="F28" s="102" t="s">
        <v>707</v>
      </c>
      <c r="G28" s="102" t="s">
        <v>706</v>
      </c>
      <c r="H28" s="102" t="s">
        <v>725</v>
      </c>
    </row>
    <row r="29" spans="1:8" s="4" customFormat="1" ht="30" x14ac:dyDescent="0.25">
      <c r="A29" s="102"/>
      <c r="B29" s="102"/>
      <c r="C29" s="102"/>
      <c r="D29" s="31" t="s">
        <v>715</v>
      </c>
      <c r="E29" s="102"/>
      <c r="F29" s="102"/>
      <c r="G29" s="102"/>
      <c r="H29" s="102"/>
    </row>
    <row r="30" spans="1:8" s="4" customFormat="1" ht="30" x14ac:dyDescent="0.25">
      <c r="A30" s="102">
        <v>14</v>
      </c>
      <c r="B30" s="102" t="s">
        <v>149</v>
      </c>
      <c r="C30" s="102" t="s">
        <v>713</v>
      </c>
      <c r="D30" s="31" t="s">
        <v>729</v>
      </c>
      <c r="E30" s="102" t="s">
        <v>706</v>
      </c>
      <c r="F30" s="102" t="s">
        <v>707</v>
      </c>
      <c r="G30" s="102" t="s">
        <v>706</v>
      </c>
      <c r="H30" s="102" t="s">
        <v>725</v>
      </c>
    </row>
    <row r="31" spans="1:8" s="4" customFormat="1" ht="30" x14ac:dyDescent="0.25">
      <c r="A31" s="102"/>
      <c r="B31" s="102"/>
      <c r="C31" s="102"/>
      <c r="D31" s="31" t="s">
        <v>715</v>
      </c>
      <c r="E31" s="102"/>
      <c r="F31" s="102"/>
      <c r="G31" s="102"/>
      <c r="H31" s="102"/>
    </row>
    <row r="32" spans="1:8" s="4" customFormat="1" ht="62.25" customHeight="1" x14ac:dyDescent="0.25">
      <c r="A32" s="102">
        <v>15</v>
      </c>
      <c r="B32" s="102" t="s">
        <v>156</v>
      </c>
      <c r="C32" s="102" t="s">
        <v>713</v>
      </c>
      <c r="D32" s="31" t="s">
        <v>730</v>
      </c>
      <c r="E32" s="102" t="s">
        <v>706</v>
      </c>
      <c r="F32" s="102" t="s">
        <v>707</v>
      </c>
      <c r="G32" s="102" t="s">
        <v>706</v>
      </c>
      <c r="H32" s="102" t="s">
        <v>725</v>
      </c>
    </row>
    <row r="33" spans="1:8" s="4" customFormat="1" ht="30" x14ac:dyDescent="0.25">
      <c r="A33" s="102"/>
      <c r="B33" s="102"/>
      <c r="C33" s="102"/>
      <c r="D33" s="31" t="s">
        <v>715</v>
      </c>
      <c r="E33" s="102"/>
      <c r="F33" s="102"/>
      <c r="G33" s="102"/>
      <c r="H33" s="102"/>
    </row>
    <row r="34" spans="1:8" s="4" customFormat="1" ht="30" x14ac:dyDescent="0.25">
      <c r="A34" s="102">
        <v>16</v>
      </c>
      <c r="B34" s="102" t="s">
        <v>159</v>
      </c>
      <c r="C34" s="102" t="s">
        <v>713</v>
      </c>
      <c r="D34" s="31" t="s">
        <v>731</v>
      </c>
      <c r="E34" s="102" t="s">
        <v>706</v>
      </c>
      <c r="F34" s="102" t="s">
        <v>707</v>
      </c>
      <c r="G34" s="102" t="s">
        <v>706</v>
      </c>
      <c r="H34" s="102" t="s">
        <v>725</v>
      </c>
    </row>
    <row r="35" spans="1:8" s="4" customFormat="1" ht="30" x14ac:dyDescent="0.25">
      <c r="A35" s="102"/>
      <c r="B35" s="102"/>
      <c r="C35" s="102"/>
      <c r="D35" s="31" t="s">
        <v>715</v>
      </c>
      <c r="E35" s="102"/>
      <c r="F35" s="102"/>
      <c r="G35" s="102"/>
      <c r="H35" s="102"/>
    </row>
    <row r="36" spans="1:8" s="4" customFormat="1" ht="75" x14ac:dyDescent="0.25">
      <c r="A36" s="102">
        <v>17</v>
      </c>
      <c r="B36" s="102" t="s">
        <v>161</v>
      </c>
      <c r="C36" s="102" t="s">
        <v>713</v>
      </c>
      <c r="D36" s="31" t="s">
        <v>732</v>
      </c>
      <c r="E36" s="102" t="s">
        <v>706</v>
      </c>
      <c r="F36" s="102" t="s">
        <v>707</v>
      </c>
      <c r="G36" s="102" t="s">
        <v>706</v>
      </c>
      <c r="H36" s="102" t="s">
        <v>725</v>
      </c>
    </row>
    <row r="37" spans="1:8" s="4" customFormat="1" ht="30" x14ac:dyDescent="0.25">
      <c r="A37" s="102"/>
      <c r="B37" s="102"/>
      <c r="C37" s="102"/>
      <c r="D37" s="31" t="s">
        <v>715</v>
      </c>
      <c r="E37" s="102"/>
      <c r="F37" s="102"/>
      <c r="G37" s="102"/>
      <c r="H37" s="102"/>
    </row>
    <row r="38" spans="1:8" s="4" customFormat="1" x14ac:dyDescent="0.25">
      <c r="A38" s="49" t="s">
        <v>735</v>
      </c>
      <c r="B38" s="48"/>
      <c r="C38" s="48"/>
      <c r="D38" s="24"/>
      <c r="E38" s="24"/>
      <c r="F38" s="24"/>
      <c r="G38" s="24"/>
      <c r="H38" s="24"/>
    </row>
    <row r="39" spans="1:8" s="4" customFormat="1" ht="71.25" x14ac:dyDescent="0.25">
      <c r="A39" s="50" t="s">
        <v>26</v>
      </c>
      <c r="B39" s="34" t="s">
        <v>19</v>
      </c>
      <c r="C39" s="34" t="s">
        <v>27</v>
      </c>
      <c r="D39" s="34" t="s">
        <v>28</v>
      </c>
      <c r="E39" s="34" t="s">
        <v>29</v>
      </c>
      <c r="F39" s="34" t="s">
        <v>30</v>
      </c>
      <c r="G39" s="34" t="s">
        <v>31</v>
      </c>
      <c r="H39" s="34" t="s">
        <v>32</v>
      </c>
    </row>
    <row r="40" spans="1:8" s="4" customFormat="1" ht="75" customHeight="1" x14ac:dyDescent="0.25">
      <c r="A40" s="31">
        <v>1</v>
      </c>
      <c r="B40" s="31" t="s">
        <v>67</v>
      </c>
      <c r="C40" s="31" t="s">
        <v>704</v>
      </c>
      <c r="D40" s="31" t="s">
        <v>739</v>
      </c>
      <c r="E40" s="31" t="s">
        <v>706</v>
      </c>
      <c r="F40" s="31" t="s">
        <v>707</v>
      </c>
      <c r="G40" s="31" t="s">
        <v>706</v>
      </c>
      <c r="H40" s="58" t="s">
        <v>725</v>
      </c>
    </row>
    <row r="41" spans="1:8" s="4" customFormat="1" ht="90" x14ac:dyDescent="0.25">
      <c r="A41" s="31">
        <v>2</v>
      </c>
      <c r="B41" s="31" t="s">
        <v>166</v>
      </c>
      <c r="C41" s="31" t="s">
        <v>704</v>
      </c>
      <c r="D41" s="31" t="s">
        <v>740</v>
      </c>
      <c r="E41" s="31" t="s">
        <v>706</v>
      </c>
      <c r="F41" s="31" t="s">
        <v>707</v>
      </c>
      <c r="G41" s="31" t="s">
        <v>706</v>
      </c>
      <c r="H41" s="58" t="s">
        <v>725</v>
      </c>
    </row>
    <row r="42" spans="1:8" s="4" customFormat="1" ht="180" x14ac:dyDescent="0.25">
      <c r="A42" s="102">
        <v>3</v>
      </c>
      <c r="B42" s="113" t="s">
        <v>168</v>
      </c>
      <c r="C42" s="113" t="s">
        <v>741</v>
      </c>
      <c r="D42" s="33" t="s">
        <v>742</v>
      </c>
      <c r="E42" s="31" t="s">
        <v>744</v>
      </c>
      <c r="F42" s="31" t="s">
        <v>745</v>
      </c>
      <c r="G42" s="102" t="s">
        <v>860</v>
      </c>
      <c r="H42" s="102" t="s">
        <v>725</v>
      </c>
    </row>
    <row r="43" spans="1:8" s="4" customFormat="1" ht="60" x14ac:dyDescent="0.25">
      <c r="A43" s="102"/>
      <c r="B43" s="113"/>
      <c r="C43" s="113"/>
      <c r="D43" s="33" t="s">
        <v>743</v>
      </c>
      <c r="E43" s="31" t="s">
        <v>736</v>
      </c>
      <c r="F43" s="31" t="s">
        <v>746</v>
      </c>
      <c r="G43" s="102"/>
      <c r="H43" s="102"/>
    </row>
    <row r="44" spans="1:8" s="4" customFormat="1" ht="90" x14ac:dyDescent="0.25">
      <c r="A44" s="132">
        <v>4</v>
      </c>
      <c r="B44" s="132" t="s">
        <v>170</v>
      </c>
      <c r="C44" s="132" t="s">
        <v>704</v>
      </c>
      <c r="D44" s="132" t="s">
        <v>747</v>
      </c>
      <c r="E44" s="31" t="s">
        <v>864</v>
      </c>
      <c r="F44" s="31" t="s">
        <v>737</v>
      </c>
      <c r="G44" s="130" t="s">
        <v>860</v>
      </c>
      <c r="H44" s="132" t="s">
        <v>725</v>
      </c>
    </row>
    <row r="45" spans="1:8" s="4" customFormat="1" ht="60" x14ac:dyDescent="0.25">
      <c r="A45" s="129"/>
      <c r="B45" s="129"/>
      <c r="C45" s="129"/>
      <c r="D45" s="129"/>
      <c r="E45" s="58" t="s">
        <v>736</v>
      </c>
      <c r="F45" s="58" t="s">
        <v>746</v>
      </c>
      <c r="G45" s="131"/>
      <c r="H45" s="129"/>
    </row>
    <row r="46" spans="1:8" s="4" customFormat="1" ht="147" customHeight="1" x14ac:dyDescent="0.25">
      <c r="A46" s="102">
        <v>5</v>
      </c>
      <c r="B46" s="113" t="s">
        <v>172</v>
      </c>
      <c r="C46" s="113" t="s">
        <v>741</v>
      </c>
      <c r="D46" s="33" t="s">
        <v>748</v>
      </c>
      <c r="E46" s="31" t="s">
        <v>744</v>
      </c>
      <c r="F46" s="31" t="s">
        <v>745</v>
      </c>
      <c r="G46" s="102" t="s">
        <v>724</v>
      </c>
      <c r="H46" s="102" t="s">
        <v>725</v>
      </c>
    </row>
    <row r="47" spans="1:8" s="4" customFormat="1" ht="60" x14ac:dyDescent="0.25">
      <c r="A47" s="102"/>
      <c r="B47" s="113"/>
      <c r="C47" s="113"/>
      <c r="D47" s="33" t="s">
        <v>749</v>
      </c>
      <c r="E47" s="31" t="s">
        <v>736</v>
      </c>
      <c r="F47" s="31" t="s">
        <v>746</v>
      </c>
      <c r="G47" s="102"/>
      <c r="H47" s="102"/>
    </row>
    <row r="48" spans="1:8" s="4" customFormat="1" ht="62.25" customHeight="1" x14ac:dyDescent="0.25">
      <c r="A48" s="102">
        <v>6</v>
      </c>
      <c r="B48" s="102" t="s">
        <v>69</v>
      </c>
      <c r="C48" s="102" t="s">
        <v>713</v>
      </c>
      <c r="D48" s="31" t="s">
        <v>750</v>
      </c>
      <c r="E48" s="102" t="s">
        <v>706</v>
      </c>
      <c r="F48" s="102" t="s">
        <v>707</v>
      </c>
      <c r="G48" s="102" t="s">
        <v>860</v>
      </c>
      <c r="H48" s="102" t="s">
        <v>725</v>
      </c>
    </row>
    <row r="49" spans="1:8" s="4" customFormat="1" ht="30" x14ac:dyDescent="0.25">
      <c r="A49" s="102"/>
      <c r="B49" s="102"/>
      <c r="C49" s="102"/>
      <c r="D49" s="31" t="s">
        <v>715</v>
      </c>
      <c r="E49" s="102"/>
      <c r="F49" s="102"/>
      <c r="G49" s="102"/>
      <c r="H49" s="102"/>
    </row>
    <row r="50" spans="1:8" s="4" customFormat="1" ht="150" x14ac:dyDescent="0.25">
      <c r="A50" s="31">
        <v>7</v>
      </c>
      <c r="B50" s="31" t="s">
        <v>751</v>
      </c>
      <c r="C50" s="31" t="s">
        <v>704</v>
      </c>
      <c r="D50" s="31" t="s">
        <v>752</v>
      </c>
      <c r="E50" s="31" t="s">
        <v>706</v>
      </c>
      <c r="F50" s="31" t="s">
        <v>707</v>
      </c>
      <c r="G50" s="31" t="s">
        <v>706</v>
      </c>
      <c r="H50" s="58" t="s">
        <v>725</v>
      </c>
    </row>
    <row r="51" spans="1:8" s="4" customFormat="1" ht="60" x14ac:dyDescent="0.25">
      <c r="A51" s="31">
        <v>8</v>
      </c>
      <c r="B51" s="31" t="s">
        <v>492</v>
      </c>
      <c r="C51" s="31" t="s">
        <v>704</v>
      </c>
      <c r="D51" s="31" t="s">
        <v>753</v>
      </c>
      <c r="E51" s="31" t="s">
        <v>706</v>
      </c>
      <c r="F51" s="31" t="s">
        <v>707</v>
      </c>
      <c r="G51" s="31" t="s">
        <v>706</v>
      </c>
      <c r="H51" s="58" t="s">
        <v>725</v>
      </c>
    </row>
    <row r="52" spans="1:8" s="4" customFormat="1" ht="75" x14ac:dyDescent="0.25">
      <c r="A52" s="31">
        <v>9</v>
      </c>
      <c r="B52" s="31" t="s">
        <v>181</v>
      </c>
      <c r="C52" s="31" t="s">
        <v>704</v>
      </c>
      <c r="D52" s="31" t="s">
        <v>754</v>
      </c>
      <c r="E52" s="31" t="s">
        <v>736</v>
      </c>
      <c r="F52" s="31" t="s">
        <v>738</v>
      </c>
      <c r="G52" s="31" t="s">
        <v>860</v>
      </c>
      <c r="H52" s="58" t="s">
        <v>725</v>
      </c>
    </row>
    <row r="53" spans="1:8" s="4" customFormat="1" ht="54.75" customHeight="1" x14ac:dyDescent="0.25">
      <c r="A53" s="31">
        <v>10</v>
      </c>
      <c r="B53" s="31" t="s">
        <v>386</v>
      </c>
      <c r="C53" s="31" t="s">
        <v>704</v>
      </c>
      <c r="D53" s="31" t="s">
        <v>755</v>
      </c>
      <c r="E53" s="31" t="s">
        <v>706</v>
      </c>
      <c r="F53" s="31" t="s">
        <v>707</v>
      </c>
      <c r="G53" s="31" t="s">
        <v>706</v>
      </c>
      <c r="H53" s="58" t="s">
        <v>725</v>
      </c>
    </row>
    <row r="54" spans="1:8" s="4" customFormat="1" ht="60" x14ac:dyDescent="0.25">
      <c r="A54" s="31">
        <v>11</v>
      </c>
      <c r="B54" s="31" t="s">
        <v>184</v>
      </c>
      <c r="C54" s="31" t="s">
        <v>704</v>
      </c>
      <c r="D54" s="31" t="s">
        <v>756</v>
      </c>
      <c r="E54" s="31" t="s">
        <v>706</v>
      </c>
      <c r="F54" s="31" t="s">
        <v>707</v>
      </c>
      <c r="G54" s="31" t="s">
        <v>706</v>
      </c>
      <c r="H54" s="58" t="s">
        <v>725</v>
      </c>
    </row>
    <row r="55" spans="1:8" s="4" customFormat="1" ht="123.75" customHeight="1" x14ac:dyDescent="0.25">
      <c r="A55" s="102">
        <v>12</v>
      </c>
      <c r="B55" s="113" t="s">
        <v>757</v>
      </c>
      <c r="C55" s="113" t="s">
        <v>758</v>
      </c>
      <c r="D55" s="33" t="s">
        <v>759</v>
      </c>
      <c r="E55" s="31" t="s">
        <v>744</v>
      </c>
      <c r="F55" s="31" t="s">
        <v>745</v>
      </c>
      <c r="G55" s="102" t="s">
        <v>860</v>
      </c>
      <c r="H55" s="102" t="s">
        <v>725</v>
      </c>
    </row>
    <row r="56" spans="1:8" s="4" customFormat="1" ht="60" x14ac:dyDescent="0.25">
      <c r="A56" s="102"/>
      <c r="B56" s="113"/>
      <c r="C56" s="113"/>
      <c r="D56" s="33" t="s">
        <v>760</v>
      </c>
      <c r="E56" s="31" t="s">
        <v>736</v>
      </c>
      <c r="F56" s="31" t="s">
        <v>746</v>
      </c>
      <c r="G56" s="102"/>
      <c r="H56" s="102"/>
    </row>
    <row r="57" spans="1:8" s="4" customFormat="1" ht="70.5" customHeight="1" x14ac:dyDescent="0.25">
      <c r="A57" s="33">
        <v>13</v>
      </c>
      <c r="B57" s="33" t="s">
        <v>73</v>
      </c>
      <c r="C57" s="33" t="s">
        <v>704</v>
      </c>
      <c r="D57" s="33" t="s">
        <v>761</v>
      </c>
      <c r="E57" s="31" t="s">
        <v>706</v>
      </c>
      <c r="F57" s="31" t="s">
        <v>707</v>
      </c>
      <c r="G57" s="31" t="s">
        <v>706</v>
      </c>
      <c r="H57" s="58" t="s">
        <v>725</v>
      </c>
    </row>
    <row r="58" spans="1:8" s="4" customFormat="1" ht="60" x14ac:dyDescent="0.25">
      <c r="A58" s="31">
        <v>14</v>
      </c>
      <c r="B58" s="31" t="s">
        <v>190</v>
      </c>
      <c r="C58" s="31" t="s">
        <v>704</v>
      </c>
      <c r="D58" s="31" t="s">
        <v>762</v>
      </c>
      <c r="E58" s="31" t="s">
        <v>706</v>
      </c>
      <c r="F58" s="31" t="s">
        <v>707</v>
      </c>
      <c r="G58" s="31" t="s">
        <v>706</v>
      </c>
      <c r="H58" s="58" t="s">
        <v>725</v>
      </c>
    </row>
    <row r="59" spans="1:8" s="4" customFormat="1" ht="52.5" customHeight="1" x14ac:dyDescent="0.25">
      <c r="A59" s="31">
        <v>15</v>
      </c>
      <c r="B59" s="31" t="s">
        <v>193</v>
      </c>
      <c r="C59" s="31" t="s">
        <v>704</v>
      </c>
      <c r="D59" s="31" t="s">
        <v>763</v>
      </c>
      <c r="E59" s="31" t="s">
        <v>706</v>
      </c>
      <c r="F59" s="31" t="s">
        <v>707</v>
      </c>
      <c r="G59" s="31" t="s">
        <v>706</v>
      </c>
      <c r="H59" s="58" t="s">
        <v>725</v>
      </c>
    </row>
    <row r="60" spans="1:8" s="4" customFormat="1" ht="75" x14ac:dyDescent="0.25">
      <c r="A60" s="31">
        <v>16</v>
      </c>
      <c r="B60" s="31" t="s">
        <v>195</v>
      </c>
      <c r="C60" s="31" t="s">
        <v>704</v>
      </c>
      <c r="D60" s="31" t="s">
        <v>764</v>
      </c>
      <c r="E60" s="31" t="s">
        <v>736</v>
      </c>
      <c r="F60" s="31" t="s">
        <v>738</v>
      </c>
      <c r="G60" s="31" t="s">
        <v>860</v>
      </c>
      <c r="H60" s="58" t="s">
        <v>725</v>
      </c>
    </row>
    <row r="61" spans="1:8" s="4" customFormat="1" ht="42.75" customHeight="1" x14ac:dyDescent="0.25">
      <c r="A61" s="102">
        <v>17</v>
      </c>
      <c r="B61" s="102" t="s">
        <v>197</v>
      </c>
      <c r="C61" s="102" t="s">
        <v>765</v>
      </c>
      <c r="D61" s="31" t="s">
        <v>766</v>
      </c>
      <c r="E61" s="102" t="s">
        <v>706</v>
      </c>
      <c r="F61" s="102" t="s">
        <v>707</v>
      </c>
      <c r="G61" s="102" t="s">
        <v>706</v>
      </c>
      <c r="H61" s="102" t="s">
        <v>725</v>
      </c>
    </row>
    <row r="62" spans="1:8" s="4" customFormat="1" ht="45" x14ac:dyDescent="0.25">
      <c r="A62" s="102"/>
      <c r="B62" s="102"/>
      <c r="C62" s="102"/>
      <c r="D62" s="31" t="s">
        <v>767</v>
      </c>
      <c r="E62" s="102"/>
      <c r="F62" s="102"/>
      <c r="G62" s="102"/>
      <c r="H62" s="102"/>
    </row>
    <row r="63" spans="1:8" s="4" customFormat="1" ht="51" customHeight="1" x14ac:dyDescent="0.25">
      <c r="A63" s="102">
        <v>18</v>
      </c>
      <c r="B63" s="102" t="s">
        <v>75</v>
      </c>
      <c r="C63" s="102" t="s">
        <v>768</v>
      </c>
      <c r="D63" s="31" t="s">
        <v>769</v>
      </c>
      <c r="E63" s="102" t="s">
        <v>706</v>
      </c>
      <c r="F63" s="102" t="s">
        <v>707</v>
      </c>
      <c r="G63" s="102" t="s">
        <v>706</v>
      </c>
      <c r="H63" s="102" t="s">
        <v>725</v>
      </c>
    </row>
    <row r="64" spans="1:8" s="4" customFormat="1" ht="45" x14ac:dyDescent="0.25">
      <c r="A64" s="102"/>
      <c r="B64" s="102"/>
      <c r="C64" s="102"/>
      <c r="D64" s="31" t="s">
        <v>770</v>
      </c>
      <c r="E64" s="102"/>
      <c r="F64" s="102"/>
      <c r="G64" s="102"/>
      <c r="H64" s="102"/>
    </row>
    <row r="65" spans="1:8" s="4" customFormat="1" ht="75" x14ac:dyDescent="0.25">
      <c r="A65" s="31">
        <v>19</v>
      </c>
      <c r="B65" s="31" t="s">
        <v>203</v>
      </c>
      <c r="C65" s="31" t="s">
        <v>704</v>
      </c>
      <c r="D65" s="31" t="s">
        <v>771</v>
      </c>
      <c r="E65" s="31" t="s">
        <v>736</v>
      </c>
      <c r="F65" s="31" t="s">
        <v>738</v>
      </c>
      <c r="G65" s="31" t="s">
        <v>860</v>
      </c>
      <c r="H65" s="58" t="s">
        <v>725</v>
      </c>
    </row>
    <row r="66" spans="1:8" s="4" customFormat="1" ht="75" x14ac:dyDescent="0.25">
      <c r="A66" s="31">
        <v>20</v>
      </c>
      <c r="B66" s="31" t="s">
        <v>204</v>
      </c>
      <c r="C66" s="31" t="s">
        <v>704</v>
      </c>
      <c r="D66" s="31" t="s">
        <v>772</v>
      </c>
      <c r="E66" s="31" t="s">
        <v>773</v>
      </c>
      <c r="F66" s="31" t="s">
        <v>774</v>
      </c>
      <c r="G66" s="31" t="s">
        <v>775</v>
      </c>
      <c r="H66" s="58" t="s">
        <v>725</v>
      </c>
    </row>
    <row r="67" spans="1:8" s="4" customFormat="1" x14ac:dyDescent="0.25">
      <c r="A67" s="49" t="s">
        <v>776</v>
      </c>
      <c r="B67" s="48"/>
      <c r="C67" s="48"/>
      <c r="D67" s="24"/>
      <c r="E67" s="24"/>
      <c r="F67" s="24"/>
      <c r="G67" s="24"/>
      <c r="H67" s="24"/>
    </row>
    <row r="68" spans="1:8" s="4" customFormat="1" ht="71.25" x14ac:dyDescent="0.25">
      <c r="A68" s="50" t="s">
        <v>26</v>
      </c>
      <c r="B68" s="34" t="s">
        <v>19</v>
      </c>
      <c r="C68" s="34" t="s">
        <v>27</v>
      </c>
      <c r="D68" s="34" t="s">
        <v>28</v>
      </c>
      <c r="E68" s="34" t="s">
        <v>29</v>
      </c>
      <c r="F68" s="34" t="s">
        <v>30</v>
      </c>
      <c r="G68" s="34" t="s">
        <v>31</v>
      </c>
      <c r="H68" s="34" t="s">
        <v>32</v>
      </c>
    </row>
    <row r="69" spans="1:8" s="4" customFormat="1" ht="120" x14ac:dyDescent="0.25">
      <c r="A69" s="102">
        <v>1</v>
      </c>
      <c r="B69" s="102" t="s">
        <v>105</v>
      </c>
      <c r="C69" s="102" t="s">
        <v>777</v>
      </c>
      <c r="D69" s="31" t="s">
        <v>778</v>
      </c>
      <c r="E69" s="102" t="s">
        <v>780</v>
      </c>
      <c r="F69" s="102" t="s">
        <v>781</v>
      </c>
      <c r="G69" s="102" t="s">
        <v>860</v>
      </c>
      <c r="H69" s="102" t="s">
        <v>725</v>
      </c>
    </row>
    <row r="70" spans="1:8" s="4" customFormat="1" ht="120" x14ac:dyDescent="0.25">
      <c r="A70" s="102"/>
      <c r="B70" s="102"/>
      <c r="C70" s="102"/>
      <c r="D70" s="31" t="s">
        <v>779</v>
      </c>
      <c r="E70" s="102"/>
      <c r="F70" s="102"/>
      <c r="G70" s="102"/>
      <c r="H70" s="102"/>
    </row>
    <row r="71" spans="1:8" s="4" customFormat="1" ht="45" x14ac:dyDescent="0.25">
      <c r="A71" s="102">
        <v>2</v>
      </c>
      <c r="B71" s="102" t="s">
        <v>208</v>
      </c>
      <c r="C71" s="102" t="s">
        <v>704</v>
      </c>
      <c r="D71" s="102" t="s">
        <v>782</v>
      </c>
      <c r="E71" s="31" t="s">
        <v>783</v>
      </c>
      <c r="F71" s="31" t="s">
        <v>785</v>
      </c>
      <c r="G71" s="102" t="s">
        <v>860</v>
      </c>
      <c r="H71" s="102" t="s">
        <v>725</v>
      </c>
    </row>
    <row r="72" spans="1:8" s="4" customFormat="1" ht="75" x14ac:dyDescent="0.25">
      <c r="A72" s="102"/>
      <c r="B72" s="102"/>
      <c r="C72" s="102"/>
      <c r="D72" s="102"/>
      <c r="E72" s="31" t="s">
        <v>784</v>
      </c>
      <c r="F72" s="31" t="s">
        <v>786</v>
      </c>
      <c r="G72" s="102"/>
      <c r="H72" s="102"/>
    </row>
    <row r="73" spans="1:8" s="4" customFormat="1" ht="30" x14ac:dyDescent="0.25">
      <c r="A73" s="102"/>
      <c r="B73" s="102"/>
      <c r="C73" s="102"/>
      <c r="D73" s="102"/>
      <c r="E73" s="31" t="s">
        <v>780</v>
      </c>
      <c r="F73" s="51"/>
      <c r="G73" s="102"/>
      <c r="H73" s="102"/>
    </row>
    <row r="74" spans="1:8" s="4" customFormat="1" ht="120" x14ac:dyDescent="0.25">
      <c r="A74" s="102">
        <v>3</v>
      </c>
      <c r="B74" s="102" t="s">
        <v>210</v>
      </c>
      <c r="C74" s="102" t="s">
        <v>704</v>
      </c>
      <c r="D74" s="31" t="s">
        <v>787</v>
      </c>
      <c r="E74" s="31" t="s">
        <v>789</v>
      </c>
      <c r="F74" s="31" t="s">
        <v>790</v>
      </c>
      <c r="G74" s="102" t="s">
        <v>860</v>
      </c>
      <c r="H74" s="102" t="s">
        <v>725</v>
      </c>
    </row>
    <row r="75" spans="1:8" s="4" customFormat="1" ht="45" x14ac:dyDescent="0.25">
      <c r="A75" s="102"/>
      <c r="B75" s="102"/>
      <c r="C75" s="102"/>
      <c r="D75" s="31" t="s">
        <v>788</v>
      </c>
      <c r="E75" s="31" t="s">
        <v>706</v>
      </c>
      <c r="F75" s="31" t="s">
        <v>707</v>
      </c>
      <c r="G75" s="102"/>
      <c r="H75" s="102"/>
    </row>
    <row r="76" spans="1:8" s="4" customFormat="1" ht="75" x14ac:dyDescent="0.25">
      <c r="A76" s="102">
        <v>4</v>
      </c>
      <c r="B76" s="102" t="s">
        <v>212</v>
      </c>
      <c r="C76" s="102" t="s">
        <v>791</v>
      </c>
      <c r="D76" s="31" t="s">
        <v>862</v>
      </c>
      <c r="E76" s="102" t="s">
        <v>706</v>
      </c>
      <c r="F76" s="102" t="s">
        <v>707</v>
      </c>
      <c r="G76" s="102" t="s">
        <v>860</v>
      </c>
      <c r="H76" s="102" t="s">
        <v>725</v>
      </c>
    </row>
    <row r="77" spans="1:8" s="4" customFormat="1" ht="75" x14ac:dyDescent="0.25">
      <c r="A77" s="102"/>
      <c r="B77" s="102"/>
      <c r="C77" s="102"/>
      <c r="D77" s="31" t="s">
        <v>861</v>
      </c>
      <c r="E77" s="102"/>
      <c r="F77" s="102"/>
      <c r="G77" s="102"/>
      <c r="H77" s="102"/>
    </row>
    <row r="78" spans="1:8" s="4" customFormat="1" ht="53.25" customHeight="1" x14ac:dyDescent="0.25">
      <c r="A78" s="102"/>
      <c r="B78" s="102"/>
      <c r="C78" s="102"/>
      <c r="D78" s="31" t="s">
        <v>792</v>
      </c>
      <c r="E78" s="102"/>
      <c r="F78" s="102"/>
      <c r="G78" s="102"/>
      <c r="H78" s="102"/>
    </row>
    <row r="79" spans="1:8" s="4" customFormat="1" ht="30" x14ac:dyDescent="0.25">
      <c r="A79" s="102">
        <v>5</v>
      </c>
      <c r="B79" s="102" t="s">
        <v>214</v>
      </c>
      <c r="C79" s="102" t="s">
        <v>704</v>
      </c>
      <c r="D79" s="102" t="s">
        <v>793</v>
      </c>
      <c r="E79" s="31" t="s">
        <v>794</v>
      </c>
      <c r="F79" s="102" t="s">
        <v>723</v>
      </c>
      <c r="G79" s="102" t="s">
        <v>860</v>
      </c>
      <c r="H79" s="102" t="s">
        <v>725</v>
      </c>
    </row>
    <row r="80" spans="1:8" s="4" customFormat="1" ht="25.5" customHeight="1" x14ac:dyDescent="0.25">
      <c r="A80" s="102"/>
      <c r="B80" s="102"/>
      <c r="C80" s="102"/>
      <c r="D80" s="102"/>
      <c r="E80" s="31" t="s">
        <v>795</v>
      </c>
      <c r="F80" s="102"/>
      <c r="G80" s="102"/>
      <c r="H80" s="102"/>
    </row>
    <row r="81" spans="1:8" s="4" customFormat="1" ht="30" x14ac:dyDescent="0.25">
      <c r="A81" s="102"/>
      <c r="B81" s="102"/>
      <c r="C81" s="102"/>
      <c r="D81" s="102"/>
      <c r="E81" s="31" t="s">
        <v>796</v>
      </c>
      <c r="F81" s="102"/>
      <c r="G81" s="102"/>
      <c r="H81" s="102"/>
    </row>
    <row r="82" spans="1:8" s="4" customFormat="1" x14ac:dyDescent="0.25">
      <c r="A82" s="102"/>
      <c r="B82" s="102"/>
      <c r="C82" s="102"/>
      <c r="D82" s="102"/>
      <c r="E82" s="31" t="s">
        <v>797</v>
      </c>
      <c r="F82" s="102"/>
      <c r="G82" s="102"/>
      <c r="H82" s="102"/>
    </row>
    <row r="83" spans="1:8" s="4" customFormat="1" x14ac:dyDescent="0.25">
      <c r="A83" s="102"/>
      <c r="B83" s="102"/>
      <c r="C83" s="102"/>
      <c r="D83" s="102"/>
      <c r="E83" s="31" t="s">
        <v>798</v>
      </c>
      <c r="F83" s="102"/>
      <c r="G83" s="102"/>
      <c r="H83" s="102"/>
    </row>
    <row r="84" spans="1:8" s="4" customFormat="1" x14ac:dyDescent="0.25">
      <c r="A84" s="102"/>
      <c r="B84" s="102"/>
      <c r="C84" s="102"/>
      <c r="D84" s="102"/>
      <c r="E84" s="31" t="s">
        <v>799</v>
      </c>
      <c r="F84" s="102"/>
      <c r="G84" s="102"/>
      <c r="H84" s="102"/>
    </row>
    <row r="85" spans="1:8" s="4" customFormat="1" x14ac:dyDescent="0.25">
      <c r="A85" s="102"/>
      <c r="B85" s="102"/>
      <c r="C85" s="102"/>
      <c r="D85" s="102"/>
      <c r="E85" s="31" t="s">
        <v>800</v>
      </c>
      <c r="F85" s="102"/>
      <c r="G85" s="102"/>
      <c r="H85" s="102"/>
    </row>
    <row r="86" spans="1:8" s="4" customFormat="1" ht="30" x14ac:dyDescent="0.25">
      <c r="A86" s="102"/>
      <c r="B86" s="102"/>
      <c r="C86" s="102"/>
      <c r="D86" s="102"/>
      <c r="E86" s="31" t="s">
        <v>801</v>
      </c>
      <c r="F86" s="102"/>
      <c r="G86" s="102"/>
      <c r="H86" s="102"/>
    </row>
    <row r="87" spans="1:8" s="4" customFormat="1" ht="53.25" customHeight="1" x14ac:dyDescent="0.25">
      <c r="A87" s="102">
        <v>6</v>
      </c>
      <c r="B87" s="102" t="s">
        <v>216</v>
      </c>
      <c r="C87" s="102" t="s">
        <v>704</v>
      </c>
      <c r="D87" s="102" t="s">
        <v>802</v>
      </c>
      <c r="E87" s="31" t="s">
        <v>744</v>
      </c>
      <c r="F87" s="102" t="s">
        <v>723</v>
      </c>
      <c r="G87" s="102" t="s">
        <v>860</v>
      </c>
      <c r="H87" s="102" t="s">
        <v>725</v>
      </c>
    </row>
    <row r="88" spans="1:8" s="4" customFormat="1" ht="38.25" customHeight="1" x14ac:dyDescent="0.25">
      <c r="A88" s="102"/>
      <c r="B88" s="102"/>
      <c r="C88" s="102"/>
      <c r="D88" s="102"/>
      <c r="E88" s="132" t="s">
        <v>736</v>
      </c>
      <c r="F88" s="102"/>
      <c r="G88" s="102"/>
      <c r="H88" s="102"/>
    </row>
    <row r="89" spans="1:8" s="4" customFormat="1" x14ac:dyDescent="0.25">
      <c r="A89" s="102"/>
      <c r="B89" s="102"/>
      <c r="C89" s="102"/>
      <c r="D89" s="102"/>
      <c r="E89" s="129"/>
      <c r="F89" s="102"/>
      <c r="G89" s="102"/>
      <c r="H89" s="102"/>
    </row>
    <row r="90" spans="1:8" s="4" customFormat="1" ht="180" x14ac:dyDescent="0.25">
      <c r="A90" s="102">
        <v>7</v>
      </c>
      <c r="B90" s="113" t="s">
        <v>168</v>
      </c>
      <c r="C90" s="113" t="s">
        <v>741</v>
      </c>
      <c r="D90" s="33" t="s">
        <v>742</v>
      </c>
      <c r="E90" s="31" t="s">
        <v>744</v>
      </c>
      <c r="F90" s="31" t="s">
        <v>745</v>
      </c>
      <c r="G90" s="102" t="s">
        <v>860</v>
      </c>
      <c r="H90" s="102" t="s">
        <v>725</v>
      </c>
    </row>
    <row r="91" spans="1:8" s="4" customFormat="1" ht="60" x14ac:dyDescent="0.25">
      <c r="A91" s="102"/>
      <c r="B91" s="113"/>
      <c r="C91" s="113"/>
      <c r="D91" s="33" t="s">
        <v>743</v>
      </c>
      <c r="E91" s="31" t="s">
        <v>736</v>
      </c>
      <c r="F91" s="31" t="s">
        <v>746</v>
      </c>
      <c r="G91" s="102"/>
      <c r="H91" s="102"/>
    </row>
    <row r="92" spans="1:8" s="4" customFormat="1" ht="60" x14ac:dyDescent="0.25">
      <c r="A92" s="102">
        <v>8</v>
      </c>
      <c r="B92" s="102" t="s">
        <v>219</v>
      </c>
      <c r="C92" s="102" t="s">
        <v>741</v>
      </c>
      <c r="D92" s="31" t="s">
        <v>803</v>
      </c>
      <c r="E92" s="102" t="s">
        <v>736</v>
      </c>
      <c r="F92" s="102" t="s">
        <v>746</v>
      </c>
      <c r="G92" s="102" t="s">
        <v>860</v>
      </c>
      <c r="H92" s="102" t="s">
        <v>725</v>
      </c>
    </row>
    <row r="93" spans="1:8" s="4" customFormat="1" ht="60" x14ac:dyDescent="0.25">
      <c r="A93" s="102"/>
      <c r="B93" s="102"/>
      <c r="C93" s="102"/>
      <c r="D93" s="31" t="s">
        <v>804</v>
      </c>
      <c r="E93" s="102"/>
      <c r="F93" s="102"/>
      <c r="G93" s="102"/>
      <c r="H93" s="102"/>
    </row>
    <row r="94" spans="1:8" s="4" customFormat="1" ht="75" x14ac:dyDescent="0.25">
      <c r="A94" s="102">
        <v>9</v>
      </c>
      <c r="B94" s="102" t="s">
        <v>221</v>
      </c>
      <c r="C94" s="102" t="s">
        <v>704</v>
      </c>
      <c r="D94" s="102" t="s">
        <v>805</v>
      </c>
      <c r="E94" s="31" t="s">
        <v>860</v>
      </c>
      <c r="F94" s="31" t="s">
        <v>806</v>
      </c>
      <c r="G94" s="102" t="s">
        <v>860</v>
      </c>
      <c r="H94" s="102" t="s">
        <v>725</v>
      </c>
    </row>
    <row r="95" spans="1:8" s="4" customFormat="1" ht="60" x14ac:dyDescent="0.25">
      <c r="A95" s="102"/>
      <c r="B95" s="102"/>
      <c r="C95" s="102"/>
      <c r="D95" s="102"/>
      <c r="E95" s="31" t="s">
        <v>736</v>
      </c>
      <c r="F95" s="31" t="s">
        <v>746</v>
      </c>
      <c r="G95" s="102"/>
      <c r="H95" s="102"/>
    </row>
    <row r="96" spans="1:8" s="4" customFormat="1" ht="75" x14ac:dyDescent="0.25">
      <c r="A96" s="31">
        <v>10</v>
      </c>
      <c r="B96" s="31" t="s">
        <v>428</v>
      </c>
      <c r="C96" s="31" t="s">
        <v>704</v>
      </c>
      <c r="D96" s="31" t="s">
        <v>807</v>
      </c>
      <c r="E96" s="31" t="s">
        <v>736</v>
      </c>
      <c r="F96" s="31" t="s">
        <v>808</v>
      </c>
      <c r="G96" s="31" t="s">
        <v>860</v>
      </c>
      <c r="H96" s="58" t="s">
        <v>725</v>
      </c>
    </row>
    <row r="97" spans="1:8" s="4" customFormat="1" ht="90" x14ac:dyDescent="0.25">
      <c r="A97" s="31">
        <v>11</v>
      </c>
      <c r="B97" s="31" t="s">
        <v>226</v>
      </c>
      <c r="C97" s="31" t="s">
        <v>704</v>
      </c>
      <c r="D97" s="31" t="s">
        <v>809</v>
      </c>
      <c r="E97" s="31" t="s">
        <v>736</v>
      </c>
      <c r="F97" s="31" t="s">
        <v>738</v>
      </c>
      <c r="G97" s="31" t="s">
        <v>860</v>
      </c>
      <c r="H97" s="58" t="s">
        <v>725</v>
      </c>
    </row>
    <row r="98" spans="1:8" s="4" customFormat="1" ht="75" x14ac:dyDescent="0.25">
      <c r="A98" s="31">
        <v>12</v>
      </c>
      <c r="B98" s="31" t="s">
        <v>228</v>
      </c>
      <c r="C98" s="31" t="s">
        <v>704</v>
      </c>
      <c r="D98" s="31" t="s">
        <v>810</v>
      </c>
      <c r="E98" s="31" t="s">
        <v>736</v>
      </c>
      <c r="F98" s="31" t="s">
        <v>738</v>
      </c>
      <c r="G98" s="31" t="s">
        <v>860</v>
      </c>
      <c r="H98" s="58" t="s">
        <v>725</v>
      </c>
    </row>
    <row r="99" spans="1:8" x14ac:dyDescent="0.25">
      <c r="A99" s="128" t="s">
        <v>33</v>
      </c>
      <c r="B99" s="128"/>
      <c r="C99" s="128"/>
      <c r="D99" s="128"/>
      <c r="E99" s="128"/>
      <c r="F99" s="128"/>
      <c r="G99" s="128"/>
      <c r="H99" s="128"/>
    </row>
    <row r="100" spans="1:8" x14ac:dyDescent="0.25">
      <c r="A100" s="110" t="s">
        <v>34</v>
      </c>
      <c r="B100" s="110"/>
      <c r="C100" s="110"/>
      <c r="D100" s="110"/>
      <c r="E100" s="110"/>
      <c r="F100" s="110"/>
      <c r="G100" s="110"/>
      <c r="H100" s="110"/>
    </row>
    <row r="101" spans="1:8" ht="15.75" x14ac:dyDescent="0.25">
      <c r="A101" s="19"/>
      <c r="B101" s="19"/>
      <c r="C101" s="19"/>
      <c r="D101" s="6"/>
      <c r="E101" s="6"/>
      <c r="F101" s="6"/>
      <c r="G101" s="6"/>
      <c r="H101" s="6"/>
    </row>
    <row r="102" spans="1:8" ht="15.75" x14ac:dyDescent="0.25">
      <c r="A102" s="19"/>
      <c r="B102" s="19"/>
      <c r="C102" s="19"/>
      <c r="D102" s="6"/>
      <c r="E102" s="6"/>
      <c r="F102" s="6"/>
      <c r="G102" s="6"/>
      <c r="H102" s="6"/>
    </row>
    <row r="103" spans="1:8" ht="15.75" x14ac:dyDescent="0.25">
      <c r="A103" s="19"/>
      <c r="B103" s="19"/>
      <c r="C103" s="19"/>
      <c r="D103" s="6"/>
      <c r="E103" s="6"/>
      <c r="F103" s="6"/>
      <c r="G103" s="6"/>
      <c r="H103" s="6"/>
    </row>
    <row r="104" spans="1:8" ht="15.75" x14ac:dyDescent="0.25">
      <c r="A104" s="19"/>
      <c r="B104" s="19"/>
      <c r="C104" s="19"/>
      <c r="D104" s="6"/>
      <c r="E104" s="6"/>
      <c r="F104" s="6"/>
      <c r="G104" s="6"/>
      <c r="H104" s="6"/>
    </row>
    <row r="105" spans="1:8" ht="15.75" x14ac:dyDescent="0.25">
      <c r="A105" s="19"/>
      <c r="B105" s="19"/>
      <c r="C105" s="19"/>
      <c r="D105" s="6"/>
      <c r="E105" s="6"/>
      <c r="F105" s="6"/>
      <c r="G105" s="6"/>
      <c r="H105" s="6"/>
    </row>
    <row r="106" spans="1:8" ht="15.75" x14ac:dyDescent="0.25">
      <c r="A106" s="19"/>
      <c r="B106" s="19"/>
      <c r="C106" s="19"/>
      <c r="D106" s="6"/>
      <c r="E106" s="6"/>
      <c r="F106" s="6"/>
      <c r="G106" s="6"/>
      <c r="H106" s="6"/>
    </row>
    <row r="107" spans="1:8" ht="15.75" x14ac:dyDescent="0.25">
      <c r="A107" s="19"/>
      <c r="B107" s="19"/>
      <c r="C107" s="19"/>
      <c r="D107" s="6"/>
      <c r="E107" s="6"/>
      <c r="F107" s="6"/>
      <c r="G107" s="6"/>
      <c r="H107" s="6"/>
    </row>
    <row r="108" spans="1:8" x14ac:dyDescent="0.25">
      <c r="A108" s="6"/>
      <c r="B108" s="6"/>
      <c r="C108" s="6"/>
      <c r="D108" s="6"/>
      <c r="E108" s="6"/>
      <c r="F108" s="6"/>
      <c r="G108" s="6"/>
      <c r="H108" s="6"/>
    </row>
  </sheetData>
  <mergeCells count="186">
    <mergeCell ref="G92:G93"/>
    <mergeCell ref="H92:H93"/>
    <mergeCell ref="A94:A95"/>
    <mergeCell ref="B94:B95"/>
    <mergeCell ref="C94:C95"/>
    <mergeCell ref="D94:D95"/>
    <mergeCell ref="G94:G95"/>
    <mergeCell ref="H94:H95"/>
    <mergeCell ref="A92:A93"/>
    <mergeCell ref="B92:B93"/>
    <mergeCell ref="C92:C93"/>
    <mergeCell ref="E92:E93"/>
    <mergeCell ref="F92:F93"/>
    <mergeCell ref="A90:A91"/>
    <mergeCell ref="B90:B91"/>
    <mergeCell ref="C90:C91"/>
    <mergeCell ref="G90:G91"/>
    <mergeCell ref="H90:H91"/>
    <mergeCell ref="C87:C89"/>
    <mergeCell ref="D87:D89"/>
    <mergeCell ref="F87:F89"/>
    <mergeCell ref="G87:G89"/>
    <mergeCell ref="H87:H89"/>
    <mergeCell ref="E88:E89"/>
    <mergeCell ref="A87:A89"/>
    <mergeCell ref="B87:B89"/>
    <mergeCell ref="A74:A75"/>
    <mergeCell ref="B74:B75"/>
    <mergeCell ref="C74:C75"/>
    <mergeCell ref="G74:G75"/>
    <mergeCell ref="H74:H75"/>
    <mergeCell ref="A79:A86"/>
    <mergeCell ref="B79:B86"/>
    <mergeCell ref="C79:C86"/>
    <mergeCell ref="D79:D86"/>
    <mergeCell ref="F79:F86"/>
    <mergeCell ref="G79:G86"/>
    <mergeCell ref="H79:H86"/>
    <mergeCell ref="A76:A78"/>
    <mergeCell ref="B76:B78"/>
    <mergeCell ref="C76:C78"/>
    <mergeCell ref="E76:E78"/>
    <mergeCell ref="F76:F78"/>
    <mergeCell ref="G76:G78"/>
    <mergeCell ref="H76:H78"/>
    <mergeCell ref="A69:A70"/>
    <mergeCell ref="B69:B70"/>
    <mergeCell ref="C69:C70"/>
    <mergeCell ref="E69:E70"/>
    <mergeCell ref="F69:F70"/>
    <mergeCell ref="G69:G70"/>
    <mergeCell ref="H69:H70"/>
    <mergeCell ref="A71:A73"/>
    <mergeCell ref="B71:B73"/>
    <mergeCell ref="C71:C73"/>
    <mergeCell ref="D71:D73"/>
    <mergeCell ref="G71:G73"/>
    <mergeCell ref="H71:H73"/>
    <mergeCell ref="G61:G62"/>
    <mergeCell ref="H61:H62"/>
    <mergeCell ref="A63:A64"/>
    <mergeCell ref="B63:B64"/>
    <mergeCell ref="C63:C64"/>
    <mergeCell ref="E63:E64"/>
    <mergeCell ref="F63:F64"/>
    <mergeCell ref="G63:G64"/>
    <mergeCell ref="H63:H64"/>
    <mergeCell ref="A61:A62"/>
    <mergeCell ref="B61:B62"/>
    <mergeCell ref="C61:C62"/>
    <mergeCell ref="E61:E62"/>
    <mergeCell ref="F61:F62"/>
    <mergeCell ref="A55:A56"/>
    <mergeCell ref="B55:B56"/>
    <mergeCell ref="C55:C56"/>
    <mergeCell ref="G55:G56"/>
    <mergeCell ref="H55:H56"/>
    <mergeCell ref="B48:B49"/>
    <mergeCell ref="C48:C49"/>
    <mergeCell ref="E48:E49"/>
    <mergeCell ref="F48:F49"/>
    <mergeCell ref="G48:G49"/>
    <mergeCell ref="H48:H49"/>
    <mergeCell ref="A48:A49"/>
    <mergeCell ref="G36:G37"/>
    <mergeCell ref="H36:H37"/>
    <mergeCell ref="A36:A37"/>
    <mergeCell ref="B36:B37"/>
    <mergeCell ref="C36:C37"/>
    <mergeCell ref="E36:E37"/>
    <mergeCell ref="F36:F37"/>
    <mergeCell ref="A46:A47"/>
    <mergeCell ref="B46:B47"/>
    <mergeCell ref="C46:C47"/>
    <mergeCell ref="G46:G47"/>
    <mergeCell ref="H46:H47"/>
    <mergeCell ref="B42:B43"/>
    <mergeCell ref="C42:C43"/>
    <mergeCell ref="G42:G43"/>
    <mergeCell ref="H42:H43"/>
    <mergeCell ref="A42:A43"/>
    <mergeCell ref="G44:G45"/>
    <mergeCell ref="A44:A45"/>
    <mergeCell ref="B44:B45"/>
    <mergeCell ref="C44:C45"/>
    <mergeCell ref="D44:D45"/>
    <mergeCell ref="H44:H45"/>
    <mergeCell ref="G32:G33"/>
    <mergeCell ref="H32:H33"/>
    <mergeCell ref="A34:A35"/>
    <mergeCell ref="B34:B35"/>
    <mergeCell ref="C34:C35"/>
    <mergeCell ref="E34:E35"/>
    <mergeCell ref="F34:F35"/>
    <mergeCell ref="G34:G35"/>
    <mergeCell ref="H34:H35"/>
    <mergeCell ref="A32:A33"/>
    <mergeCell ref="B32:B33"/>
    <mergeCell ref="C32:C33"/>
    <mergeCell ref="E32:E33"/>
    <mergeCell ref="F32:F33"/>
    <mergeCell ref="G28:G29"/>
    <mergeCell ref="H28:H29"/>
    <mergeCell ref="A30:A31"/>
    <mergeCell ref="B30:B31"/>
    <mergeCell ref="C30:C31"/>
    <mergeCell ref="E30:E31"/>
    <mergeCell ref="F30:F31"/>
    <mergeCell ref="G30:G31"/>
    <mergeCell ref="H30:H31"/>
    <mergeCell ref="A28:A29"/>
    <mergeCell ref="B28:B29"/>
    <mergeCell ref="C28:C29"/>
    <mergeCell ref="E28:E29"/>
    <mergeCell ref="F28:F29"/>
    <mergeCell ref="G24:G25"/>
    <mergeCell ref="H24:H25"/>
    <mergeCell ref="A26:A27"/>
    <mergeCell ref="B26:B27"/>
    <mergeCell ref="C26:C27"/>
    <mergeCell ref="E26:E27"/>
    <mergeCell ref="F26:F27"/>
    <mergeCell ref="G26:G27"/>
    <mergeCell ref="H26:H27"/>
    <mergeCell ref="A24:A25"/>
    <mergeCell ref="B24:B25"/>
    <mergeCell ref="C24:C25"/>
    <mergeCell ref="E24:E25"/>
    <mergeCell ref="F24:F25"/>
    <mergeCell ref="H19:H20"/>
    <mergeCell ref="A22:A23"/>
    <mergeCell ref="B22:B23"/>
    <mergeCell ref="C22:C23"/>
    <mergeCell ref="E22:E23"/>
    <mergeCell ref="F22:F23"/>
    <mergeCell ref="G22:G23"/>
    <mergeCell ref="H22:H23"/>
    <mergeCell ref="A19:A20"/>
    <mergeCell ref="B19:B20"/>
    <mergeCell ref="C19:C20"/>
    <mergeCell ref="E19:E20"/>
    <mergeCell ref="F19:F20"/>
    <mergeCell ref="A100:H100"/>
    <mergeCell ref="C1:F1"/>
    <mergeCell ref="C2:F2"/>
    <mergeCell ref="C3:F3"/>
    <mergeCell ref="A5:H5"/>
    <mergeCell ref="G1:H1"/>
    <mergeCell ref="G2:H2"/>
    <mergeCell ref="G3:H3"/>
    <mergeCell ref="A99:H99"/>
    <mergeCell ref="A12:A13"/>
    <mergeCell ref="B12:B13"/>
    <mergeCell ref="C12:C13"/>
    <mergeCell ref="E12:E13"/>
    <mergeCell ref="F12:F13"/>
    <mergeCell ref="G12:G13"/>
    <mergeCell ref="H12:H13"/>
    <mergeCell ref="A14:A15"/>
    <mergeCell ref="B14:B15"/>
    <mergeCell ref="C14:C15"/>
    <mergeCell ref="E14:E15"/>
    <mergeCell ref="F14:F15"/>
    <mergeCell ref="G14:G15"/>
    <mergeCell ref="H14:H15"/>
    <mergeCell ref="G19:G20"/>
  </mergeCells>
  <pageMargins left="0.7" right="0.7" top="0.75" bottom="0.75" header="0.3" footer="0.3"/>
  <pageSetup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opLeftCell="A5" zoomScaleNormal="100" workbookViewId="0">
      <selection activeCell="A4" sqref="A1:XFD4"/>
    </sheetView>
  </sheetViews>
  <sheetFormatPr defaultRowHeight="15" x14ac:dyDescent="0.25"/>
  <cols>
    <col min="1" max="1" width="22.28515625" customWidth="1"/>
    <col min="2" max="2" width="19.28515625" customWidth="1"/>
    <col min="3" max="3" width="12.140625" customWidth="1"/>
    <col min="4" max="4" width="13.42578125" customWidth="1"/>
    <col min="5" max="5" width="13.7109375" customWidth="1"/>
    <col min="6" max="6" width="13.28515625" customWidth="1"/>
    <col min="7" max="7" width="12.7109375" customWidth="1"/>
    <col min="8" max="8" width="14.42578125" customWidth="1"/>
    <col min="9" max="9" width="15.7109375" customWidth="1"/>
    <col min="10" max="10" width="19.85546875" customWidth="1"/>
  </cols>
  <sheetData>
    <row r="1" spans="1:10" ht="15.75" hidden="1" x14ac:dyDescent="0.25">
      <c r="H1" s="116" t="s">
        <v>52</v>
      </c>
      <c r="I1" s="116"/>
      <c r="J1" s="116"/>
    </row>
    <row r="2" spans="1:10" ht="15.75" hidden="1" x14ac:dyDescent="0.25">
      <c r="H2" s="117" t="s">
        <v>0</v>
      </c>
      <c r="I2" s="117"/>
      <c r="J2" s="117"/>
    </row>
    <row r="3" spans="1:10" ht="15.75" hidden="1" x14ac:dyDescent="0.25">
      <c r="H3" s="117" t="s">
        <v>16</v>
      </c>
      <c r="I3" s="117"/>
      <c r="J3" s="117"/>
    </row>
    <row r="4" spans="1:10" hidden="1" x14ac:dyDescent="0.25"/>
    <row r="5" spans="1:10" ht="15.75" x14ac:dyDescent="0.25">
      <c r="A5" s="115" t="s">
        <v>35</v>
      </c>
      <c r="B5" s="115"/>
      <c r="C5" s="115"/>
      <c r="D5" s="115"/>
      <c r="E5" s="115"/>
      <c r="F5" s="115"/>
      <c r="G5" s="115"/>
      <c r="H5" s="115"/>
      <c r="I5" s="115"/>
      <c r="J5" s="115"/>
    </row>
    <row r="6" spans="1:10" ht="15.75" x14ac:dyDescent="0.25">
      <c r="A6" s="12"/>
      <c r="B6" s="6"/>
      <c r="C6" s="6"/>
      <c r="D6" s="6"/>
      <c r="E6" s="6"/>
      <c r="F6" s="6"/>
      <c r="G6" s="6"/>
      <c r="H6" s="6"/>
      <c r="I6" s="6"/>
      <c r="J6" s="6"/>
    </row>
    <row r="7" spans="1:10" x14ac:dyDescent="0.25">
      <c r="A7" s="27" t="s">
        <v>853</v>
      </c>
      <c r="B7" s="52"/>
      <c r="C7" s="52"/>
      <c r="D7" s="52"/>
      <c r="E7" s="52"/>
      <c r="F7" s="52"/>
      <c r="G7" s="52"/>
      <c r="H7" s="52"/>
      <c r="I7" s="52"/>
      <c r="J7" s="47"/>
    </row>
    <row r="8" spans="1:10" x14ac:dyDescent="0.25">
      <c r="A8" s="133" t="s">
        <v>36</v>
      </c>
      <c r="B8" s="133" t="s">
        <v>37</v>
      </c>
      <c r="C8" s="133" t="s">
        <v>38</v>
      </c>
      <c r="D8" s="133"/>
      <c r="E8" s="133"/>
      <c r="F8" s="133"/>
      <c r="G8" s="133"/>
      <c r="H8" s="133"/>
      <c r="I8" s="133"/>
      <c r="J8" s="133" t="s">
        <v>39</v>
      </c>
    </row>
    <row r="9" spans="1:10" ht="28.5" x14ac:dyDescent="0.25">
      <c r="A9" s="133"/>
      <c r="B9" s="122"/>
      <c r="C9" s="34" t="s">
        <v>40</v>
      </c>
      <c r="D9" s="34" t="s">
        <v>41</v>
      </c>
      <c r="E9" s="34" t="s">
        <v>42</v>
      </c>
      <c r="F9" s="34" t="s">
        <v>43</v>
      </c>
      <c r="G9" s="34" t="s">
        <v>44</v>
      </c>
      <c r="H9" s="34" t="s">
        <v>45</v>
      </c>
      <c r="I9" s="34" t="s">
        <v>46</v>
      </c>
      <c r="J9" s="122"/>
    </row>
    <row r="10" spans="1:10" ht="30" x14ac:dyDescent="0.25">
      <c r="A10" s="53" t="s">
        <v>47</v>
      </c>
      <c r="B10" s="31" t="s">
        <v>811</v>
      </c>
      <c r="C10" s="31" t="s">
        <v>812</v>
      </c>
      <c r="D10" s="31"/>
      <c r="E10" s="31"/>
      <c r="F10" s="31"/>
      <c r="G10" s="31"/>
      <c r="H10" s="31"/>
      <c r="I10" s="31" t="s">
        <v>812</v>
      </c>
      <c r="J10" s="31" t="s">
        <v>813</v>
      </c>
    </row>
    <row r="11" spans="1:10" ht="30" x14ac:dyDescent="0.25">
      <c r="A11" s="53" t="s">
        <v>48</v>
      </c>
      <c r="B11" s="31" t="s">
        <v>814</v>
      </c>
      <c r="C11" s="31" t="s">
        <v>812</v>
      </c>
      <c r="D11" s="31"/>
      <c r="E11" s="31"/>
      <c r="F11" s="31"/>
      <c r="G11" s="31"/>
      <c r="H11" s="31"/>
      <c r="I11" s="31"/>
      <c r="J11" s="31" t="s">
        <v>813</v>
      </c>
    </row>
    <row r="12" spans="1:10" x14ac:dyDescent="0.25">
      <c r="A12" s="53" t="s">
        <v>49</v>
      </c>
      <c r="B12" s="31" t="s">
        <v>811</v>
      </c>
      <c r="C12" s="31" t="s">
        <v>812</v>
      </c>
      <c r="D12" s="31"/>
      <c r="E12" s="31"/>
      <c r="F12" s="31"/>
      <c r="G12" s="31"/>
      <c r="H12" s="31"/>
      <c r="I12" s="31"/>
      <c r="J12" s="31" t="s">
        <v>813</v>
      </c>
    </row>
    <row r="13" spans="1:10" x14ac:dyDescent="0.25">
      <c r="A13" s="53" t="s">
        <v>50</v>
      </c>
      <c r="B13" s="31" t="s">
        <v>811</v>
      </c>
      <c r="C13" s="31" t="s">
        <v>812</v>
      </c>
      <c r="D13" s="31"/>
      <c r="E13" s="31"/>
      <c r="F13" s="31"/>
      <c r="G13" s="31"/>
      <c r="H13" s="31"/>
      <c r="I13" s="31"/>
      <c r="J13" s="31" t="s">
        <v>813</v>
      </c>
    </row>
    <row r="14" spans="1:10" x14ac:dyDescent="0.25">
      <c r="A14" s="54" t="s">
        <v>46</v>
      </c>
      <c r="B14" s="55"/>
      <c r="C14" s="55"/>
      <c r="D14" s="55"/>
      <c r="E14" s="55"/>
      <c r="F14" s="55"/>
      <c r="G14" s="55"/>
      <c r="H14" s="55"/>
      <c r="I14" s="55"/>
      <c r="J14" s="55"/>
    </row>
    <row r="15" spans="1:10" x14ac:dyDescent="0.25">
      <c r="A15" s="44" t="s">
        <v>51</v>
      </c>
      <c r="B15" s="56"/>
      <c r="C15" s="57"/>
      <c r="D15" s="57"/>
      <c r="E15" s="57"/>
      <c r="F15" s="57"/>
      <c r="G15" s="57"/>
      <c r="H15" s="57"/>
      <c r="I15" s="57"/>
      <c r="J15" s="57"/>
    </row>
    <row r="16" spans="1:10" ht="15.75" x14ac:dyDescent="0.25">
      <c r="A16" s="7"/>
      <c r="B16" s="7"/>
      <c r="C16" s="9"/>
      <c r="D16" s="9"/>
      <c r="E16" s="9"/>
      <c r="F16" s="9"/>
      <c r="G16" s="9"/>
      <c r="H16" s="9"/>
      <c r="I16" s="9"/>
      <c r="J16" s="9"/>
    </row>
    <row r="17" spans="1:10" ht="15.75" x14ac:dyDescent="0.25">
      <c r="A17" s="7"/>
      <c r="B17" s="7"/>
      <c r="C17" s="9"/>
      <c r="D17" s="9"/>
      <c r="E17" s="9"/>
      <c r="F17" s="9"/>
      <c r="G17" s="9"/>
      <c r="H17" s="9"/>
      <c r="I17" s="9"/>
      <c r="J17" s="9"/>
    </row>
    <row r="18" spans="1:10" ht="15.75" x14ac:dyDescent="0.25">
      <c r="A18" s="7"/>
      <c r="B18" s="7"/>
      <c r="C18" s="9"/>
      <c r="D18" s="9"/>
      <c r="E18" s="9"/>
      <c r="F18" s="9"/>
      <c r="G18" s="9"/>
      <c r="H18" s="9"/>
      <c r="I18" s="9"/>
      <c r="J18" s="9"/>
    </row>
    <row r="19" spans="1:10" ht="15.75" x14ac:dyDescent="0.25">
      <c r="A19" s="7"/>
      <c r="B19" s="7"/>
      <c r="C19" s="9"/>
      <c r="D19" s="9"/>
      <c r="E19" s="9"/>
      <c r="F19" s="9"/>
      <c r="G19" s="9"/>
      <c r="H19" s="9"/>
      <c r="I19" s="9"/>
      <c r="J19" s="9"/>
    </row>
    <row r="20" spans="1:10" ht="15.75" x14ac:dyDescent="0.25">
      <c r="A20" s="7"/>
      <c r="B20" s="7"/>
      <c r="C20" s="9"/>
      <c r="D20" s="9"/>
      <c r="E20" s="9"/>
      <c r="F20" s="9"/>
      <c r="G20" s="9"/>
      <c r="H20" s="9"/>
      <c r="I20" s="9"/>
      <c r="J20" s="9"/>
    </row>
    <row r="21" spans="1:10" ht="15.75" x14ac:dyDescent="0.25">
      <c r="A21" s="7"/>
      <c r="B21" s="7"/>
      <c r="C21" s="9"/>
      <c r="D21" s="9"/>
      <c r="E21" s="9"/>
      <c r="F21" s="9"/>
      <c r="G21" s="9"/>
      <c r="H21" s="9"/>
      <c r="I21" s="9"/>
      <c r="J21" s="9"/>
    </row>
    <row r="22" spans="1:10" ht="15.75" x14ac:dyDescent="0.25">
      <c r="A22" s="7"/>
      <c r="B22" s="7"/>
      <c r="C22" s="9"/>
      <c r="D22" s="9"/>
      <c r="E22" s="9"/>
      <c r="F22" s="9"/>
      <c r="G22" s="9"/>
      <c r="H22" s="9"/>
      <c r="I22" s="9"/>
      <c r="J22" s="9"/>
    </row>
    <row r="23" spans="1:10" ht="15.75" x14ac:dyDescent="0.25">
      <c r="A23" s="7"/>
      <c r="B23" s="7"/>
      <c r="C23" s="9"/>
      <c r="D23" s="9"/>
      <c r="E23" s="9"/>
      <c r="F23" s="9"/>
      <c r="G23" s="9"/>
      <c r="H23" s="9"/>
      <c r="I23" s="9"/>
      <c r="J23" s="9"/>
    </row>
  </sheetData>
  <mergeCells count="8">
    <mergeCell ref="H1:J1"/>
    <mergeCell ref="H2:J2"/>
    <mergeCell ref="H3:J3"/>
    <mergeCell ref="A8:A9"/>
    <mergeCell ref="B8:B9"/>
    <mergeCell ref="C8:I8"/>
    <mergeCell ref="J8:J9"/>
    <mergeCell ref="A5:J5"/>
  </mergeCells>
  <pageMargins left="0.7" right="0.7" top="0.75" bottom="0.75" header="0.3" footer="0.3"/>
  <pageSetup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8</vt:i4>
      </vt:variant>
    </vt:vector>
  </HeadingPairs>
  <TitlesOfParts>
    <vt:vector size="8" baseType="lpstr">
      <vt:lpstr>1-2 lentelė</vt:lpstr>
      <vt:lpstr> 3 lentelė</vt:lpstr>
      <vt:lpstr>4-5 lentelės</vt:lpstr>
      <vt:lpstr>4 lentelei pagal metus</vt:lpstr>
      <vt:lpstr>4 lentelės skaičiavimai</vt:lpstr>
      <vt:lpstr>Lapas8</vt:lpstr>
      <vt:lpstr> 6 lentelė</vt:lpstr>
      <vt:lpstr>7 lentelė</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rpdkau06</cp:lastModifiedBy>
  <cp:lastPrinted>2018-09-20T10:47:35Z</cp:lastPrinted>
  <dcterms:created xsi:type="dcterms:W3CDTF">2017-11-23T09:10:18Z</dcterms:created>
  <dcterms:modified xsi:type="dcterms:W3CDTF">2019-03-18T13:45:47Z</dcterms:modified>
</cp:coreProperties>
</file>